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Bhuvana-back\Maventra\investor-pitch\pitch-practice\mevn-ai-website-new\outputs\website-resources\"/>
    </mc:Choice>
  </mc:AlternateContent>
  <xr:revisionPtr revIDLastSave="0" documentId="13_ncr:1_{2B3360C4-8923-4181-8C58-121ECE7A1A9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ead Me" sheetId="1" r:id="rId1"/>
    <sheet name="Compliance Renewals" sheetId="2" r:id="rId2"/>
    <sheet name="Maintenance Register" sheetId="3" r:id="rId3"/>
    <sheet name="Playbook &amp; ROI Guide" sheetId="4" r:id="rId4"/>
    <sheet name="List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3" l="1"/>
  <c r="L20" i="3" s="1"/>
  <c r="L19" i="3"/>
  <c r="Q19" i="3" s="1"/>
  <c r="G19" i="3"/>
  <c r="G18" i="3"/>
  <c r="L18" i="3" s="1"/>
  <c r="L17" i="3"/>
  <c r="Q17" i="3" s="1"/>
  <c r="G17" i="3"/>
  <c r="G16" i="3"/>
  <c r="L16" i="3" s="1"/>
  <c r="L15" i="3"/>
  <c r="Q15" i="3" s="1"/>
  <c r="G15" i="3"/>
  <c r="G14" i="3"/>
  <c r="L14" i="3" s="1"/>
  <c r="L13" i="3"/>
  <c r="G13" i="3"/>
  <c r="G12" i="3"/>
  <c r="L12" i="3" s="1"/>
  <c r="L11" i="3"/>
  <c r="Q11" i="3" s="1"/>
  <c r="G11" i="3"/>
  <c r="G10" i="3"/>
  <c r="L10" i="3" s="1"/>
  <c r="L9" i="3"/>
  <c r="G9" i="3"/>
  <c r="G6" i="3"/>
  <c r="A6" i="3"/>
  <c r="Q20" i="2"/>
  <c r="I20" i="2"/>
  <c r="J20" i="2" s="1"/>
  <c r="M20" i="2" s="1"/>
  <c r="Q19" i="2"/>
  <c r="J19" i="2"/>
  <c r="M19" i="2" s="1"/>
  <c r="I19" i="2"/>
  <c r="Q18" i="2"/>
  <c r="I18" i="2"/>
  <c r="J18" i="2" s="1"/>
  <c r="M18" i="2" s="1"/>
  <c r="Q17" i="2"/>
  <c r="I17" i="2"/>
  <c r="J17" i="2" s="1"/>
  <c r="M17" i="2" s="1"/>
  <c r="Q16" i="2"/>
  <c r="I16" i="2"/>
  <c r="J16" i="2" s="1"/>
  <c r="M16" i="2" s="1"/>
  <c r="Q15" i="2"/>
  <c r="J15" i="2"/>
  <c r="M15" i="2" s="1"/>
  <c r="I15" i="2"/>
  <c r="Q14" i="2"/>
  <c r="I14" i="2"/>
  <c r="J14" i="2" s="1"/>
  <c r="M14" i="2" s="1"/>
  <c r="Q13" i="2"/>
  <c r="I13" i="2"/>
  <c r="J13" i="2" s="1"/>
  <c r="M13" i="2" s="1"/>
  <c r="Q12" i="2"/>
  <c r="I12" i="2"/>
  <c r="J12" i="2" s="1"/>
  <c r="M12" i="2" s="1"/>
  <c r="Q11" i="2"/>
  <c r="J11" i="2"/>
  <c r="M11" i="2" s="1"/>
  <c r="I11" i="2"/>
  <c r="Q10" i="2"/>
  <c r="I10" i="2"/>
  <c r="J10" i="2" s="1"/>
  <c r="M10" i="2" s="1"/>
  <c r="Q9" i="2"/>
  <c r="I9" i="2"/>
  <c r="J9" i="2" s="1"/>
  <c r="M9" i="2" s="1"/>
  <c r="A6" i="2"/>
  <c r="Q9" i="3" l="1"/>
  <c r="Q13" i="3"/>
  <c r="C20" i="4"/>
  <c r="S9" i="2"/>
  <c r="E6" i="2"/>
  <c r="G6" i="2"/>
  <c r="R9" i="2"/>
  <c r="C6" i="2"/>
  <c r="S16" i="2"/>
  <c r="R16" i="2"/>
  <c r="Q16" i="3"/>
  <c r="P16" i="3"/>
  <c r="S18" i="2"/>
  <c r="R18" i="2"/>
  <c r="S11" i="2"/>
  <c r="R11" i="2"/>
  <c r="Q14" i="3"/>
  <c r="P14" i="3"/>
  <c r="S15" i="2"/>
  <c r="R15" i="2"/>
  <c r="S12" i="2"/>
  <c r="R12" i="2"/>
  <c r="R19" i="2"/>
  <c r="S19" i="2"/>
  <c r="C6" i="3"/>
  <c r="Q10" i="3"/>
  <c r="P10" i="3"/>
  <c r="E6" i="3"/>
  <c r="S13" i="2"/>
  <c r="R13" i="2"/>
  <c r="S20" i="2"/>
  <c r="R20" i="2"/>
  <c r="S10" i="2"/>
  <c r="R10" i="2"/>
  <c r="S17" i="2"/>
  <c r="R17" i="2"/>
  <c r="Q12" i="3"/>
  <c r="P12" i="3"/>
  <c r="S14" i="2"/>
  <c r="R14" i="2"/>
  <c r="Q18" i="3"/>
  <c r="P18" i="3"/>
  <c r="Q20" i="3"/>
  <c r="P20" i="3"/>
  <c r="P9" i="3"/>
  <c r="P11" i="3"/>
  <c r="P13" i="3"/>
  <c r="P15" i="3"/>
  <c r="P17" i="3"/>
  <c r="P19" i="3"/>
  <c r="C18" i="4" l="1"/>
  <c r="I6" i="2"/>
  <c r="C16" i="4" s="1"/>
  <c r="C17" i="4"/>
  <c r="C19" i="4" l="1"/>
  <c r="C21" i="4" s="1"/>
</calcChain>
</file>

<file path=xl/sharedStrings.xml><?xml version="1.0" encoding="utf-8"?>
<sst xmlns="http://schemas.openxmlformats.org/spreadsheetml/2006/main" count="354" uniqueCount="233">
  <si>
    <t>Compliance &amp; Maintenance</t>
  </si>
  <si>
    <t>MeVn.ai  |  Workforce Training Operations Planner</t>
  </si>
  <si>
    <t>Monitor learner renewals and keep course content current, approved, and audit-ready.</t>
  </si>
  <si>
    <t>STEP</t>
  </si>
  <si>
    <t>WHAT TO DO</t>
  </si>
  <si>
    <t>WORKBOOK CONTENTS</t>
  </si>
  <si>
    <t>1</t>
  </si>
  <si>
    <t>Review the sample rows and replace them with your organization’s data.</t>
  </si>
  <si>
    <t>1. Compliance Renewals</t>
  </si>
  <si>
    <t>2</t>
  </si>
  <si>
    <t>Use the dropdown fields to keep reporting consistent.</t>
  </si>
  <si>
    <t>2. Maintenance Register</t>
  </si>
  <si>
    <t>3</t>
  </si>
  <si>
    <t>Enter or paste data only in input cells; calculated fields update automatically in Excel.</t>
  </si>
  <si>
    <t>3. Playbook &amp; ROI Guide</t>
  </si>
  <si>
    <t>4</t>
  </si>
  <si>
    <t>Use table filters and the KPI cards to focus on exceptions and priorities.</t>
  </si>
  <si>
    <t>4. Lists</t>
  </si>
  <si>
    <t>5</t>
  </si>
  <si>
    <t>Duplicate sample rows as needed and extend formulas/formatting for additional records.</t>
  </si>
  <si>
    <t>6</t>
  </si>
  <si>
    <t>Watch the Audit Readiness Score card and the Compounding Risk flag across both sheets, then open the Playbook &amp; ROI Guide sheet for the full plan-budget-schedule-track-implement-measure framework and an exposure/ROI calculator.</t>
  </si>
  <si>
    <t>Template note: sample data is illustrative. Adapt categories, owners, dates, and policies to your organization. Validate all compliance requirements with the appropriate legal, regulatory, or internal policy owner.</t>
  </si>
  <si>
    <t>Compliance Renewal Dates</t>
  </si>
  <si>
    <t>MeVn.ai  •  Track credentials and renewal deadlines</t>
  </si>
  <si>
    <t>RECORDS</t>
  </si>
  <si>
    <t>CURRENT</t>
  </si>
  <si>
    <t>DUE ≤ 30 DAYS</t>
  </si>
  <si>
    <t>OVERDUE</t>
  </si>
  <si>
    <t>AUDIT READINESS SCORE</t>
  </si>
  <si>
    <t>Record ID</t>
  </si>
  <si>
    <t>Employee ID</t>
  </si>
  <si>
    <t>Learner Name</t>
  </si>
  <si>
    <t>Department</t>
  </si>
  <si>
    <t>Course ID</t>
  </si>
  <si>
    <t>Compliance Course</t>
  </si>
  <si>
    <t>Completion Date</t>
  </si>
  <si>
    <t>Renewal Cycle (Months)</t>
  </si>
  <si>
    <t>Renewal Due</t>
  </si>
  <si>
    <t>Days Remaining</t>
  </si>
  <si>
    <t>Evidence Link</t>
  </si>
  <si>
    <t>Owner</t>
  </si>
  <si>
    <t>Status</t>
  </si>
  <si>
    <t>Notes</t>
  </si>
  <si>
    <t>Risk Level</t>
  </si>
  <si>
    <t>Renewal Cost per Learner</t>
  </si>
  <si>
    <t>Max Exposure</t>
  </si>
  <si>
    <t>Exposure if Overdue</t>
  </si>
  <si>
    <t>Compounding Risk</t>
  </si>
  <si>
    <t>REN-001</t>
  </si>
  <si>
    <t>E1001</t>
  </si>
  <si>
    <t>Aarav Mehta</t>
  </si>
  <si>
    <t>Operations</t>
  </si>
  <si>
    <t>CRS-101</t>
  </si>
  <si>
    <t>Workplace Safety Essentials</t>
  </si>
  <si>
    <t>LMS / certificate</t>
  </si>
  <si>
    <t>Priya Shah</t>
  </si>
  <si>
    <t>High</t>
  </si>
  <si>
    <t>REN-002</t>
  </si>
  <si>
    <t>E1003</t>
  </si>
  <si>
    <t>Noah Williams</t>
  </si>
  <si>
    <t>IT</t>
  </si>
  <si>
    <t>CRS-410</t>
  </si>
  <si>
    <t>Security Incident Triage</t>
  </si>
  <si>
    <t>LMS</t>
  </si>
  <si>
    <t>Marco Ruiz</t>
  </si>
  <si>
    <t>Critical</t>
  </si>
  <si>
    <t>REN-003</t>
  </si>
  <si>
    <t>E1005</t>
  </si>
  <si>
    <t>Liam Chen</t>
  </si>
  <si>
    <t>Engineering</t>
  </si>
  <si>
    <t>CRS-420</t>
  </si>
  <si>
    <t>Secure Coding Practices</t>
  </si>
  <si>
    <t>Alex Morgan</t>
  </si>
  <si>
    <t>REN-004</t>
  </si>
  <si>
    <t>E1006</t>
  </si>
  <si>
    <t>Sophia Brown</t>
  </si>
  <si>
    <t>Legal</t>
  </si>
  <si>
    <t>CRS-115</t>
  </si>
  <si>
    <t>Responsible AI Use</t>
  </si>
  <si>
    <t>Nora James</t>
  </si>
  <si>
    <t>REN-005</t>
  </si>
  <si>
    <t>E1008</t>
  </si>
  <si>
    <t>Mia Johnson</t>
  </si>
  <si>
    <t>Finance</t>
  </si>
  <si>
    <t>CRS-630</t>
  </si>
  <si>
    <t>Finance Controls Refresher</t>
  </si>
  <si>
    <t>GRC system</t>
  </si>
  <si>
    <t>Wei Chen</t>
  </si>
  <si>
    <t>REN-006</t>
  </si>
  <si>
    <t>E1011</t>
  </si>
  <si>
    <t>James Taylor</t>
  </si>
  <si>
    <t>REN-007</t>
  </si>
  <si>
    <t>E1013</t>
  </si>
  <si>
    <t>Benjamin Hall</t>
  </si>
  <si>
    <t>REN-008</t>
  </si>
  <si>
    <t>E1014</t>
  </si>
  <si>
    <t>Charlotte King</t>
  </si>
  <si>
    <t>REN-009</t>
  </si>
  <si>
    <t>E1015</t>
  </si>
  <si>
    <t>Harper Scott</t>
  </si>
  <si>
    <t>People</t>
  </si>
  <si>
    <t>CRS-910</t>
  </si>
  <si>
    <t>Data Privacy for Leaders</t>
  </si>
  <si>
    <t>Rina Das</t>
  </si>
  <si>
    <t>REN-010</t>
  </si>
  <si>
    <t>E1016</t>
  </si>
  <si>
    <t>Henry Adams</t>
  </si>
  <si>
    <t>Sales</t>
  </si>
  <si>
    <t>REN-011</t>
  </si>
  <si>
    <t>E1017</t>
  </si>
  <si>
    <t>Evelyn Baker</t>
  </si>
  <si>
    <t>Support</t>
  </si>
  <si>
    <t>CRS-310</t>
  </si>
  <si>
    <t>Customer De-escalation</t>
  </si>
  <si>
    <t>Jamie Brooks</t>
  </si>
  <si>
    <t>Medium</t>
  </si>
  <si>
    <t>REN-012</t>
  </si>
  <si>
    <t>E1018</t>
  </si>
  <si>
    <t>Alexander Hill</t>
  </si>
  <si>
    <t>Marketing</t>
  </si>
  <si>
    <t>CRS-720</t>
  </si>
  <si>
    <t>Accessible Content</t>
  </si>
  <si>
    <t>Ethan Cole</t>
  </si>
  <si>
    <t>Course Maintenance Register</t>
  </si>
  <si>
    <t>MeVn.ai  •  Plan reviews, owners, and remediation</t>
  </si>
  <si>
    <t>COURSES</t>
  </si>
  <si>
    <t>DUE ≤ 60 DAYS</t>
  </si>
  <si>
    <t>OPEN ACTIONS</t>
  </si>
  <si>
    <t>Course Title</t>
  </si>
  <si>
    <t>Business Owner</t>
  </si>
  <si>
    <t>Content Owner</t>
  </si>
  <si>
    <t>Last Review</t>
  </si>
  <si>
    <t>Review Frequency (Months)</t>
  </si>
  <si>
    <t>Next Review</t>
  </si>
  <si>
    <t>Review Type</t>
  </si>
  <si>
    <t>Version</t>
  </si>
  <si>
    <t>Change Trigger</t>
  </si>
  <si>
    <t>Risk</t>
  </si>
  <si>
    <t>Timing</t>
  </si>
  <si>
    <t>Action Status</t>
  </si>
  <si>
    <t>Review Cost</t>
  </si>
  <si>
    <t>Annual review</t>
  </si>
  <si>
    <t>v3.2</t>
  </si>
  <si>
    <t>Annual cycle</t>
  </si>
  <si>
    <t>In Progress</t>
  </si>
  <si>
    <t>Check local regulations</t>
  </si>
  <si>
    <t>Policy change</t>
  </si>
  <si>
    <t>v1.1</t>
  </si>
  <si>
    <t>Policy update</t>
  </si>
  <si>
    <t>Planned</t>
  </si>
  <si>
    <t>New model-use guidance</t>
  </si>
  <si>
    <t>CRS-210</t>
  </si>
  <si>
    <t>Consultative Selling</t>
  </si>
  <si>
    <t>Daniel Lee</t>
  </si>
  <si>
    <t>SME review</t>
  </si>
  <si>
    <t>v2.0</t>
  </si>
  <si>
    <t>Not Started</t>
  </si>
  <si>
    <t>v2.4</t>
  </si>
  <si>
    <t>Feedback trend</t>
  </si>
  <si>
    <t>Update scenarios</t>
  </si>
  <si>
    <t>Technical QA</t>
  </si>
  <si>
    <t>v4.0</t>
  </si>
  <si>
    <t>Tooling change</t>
  </si>
  <si>
    <t>Lab screenshots</t>
  </si>
  <si>
    <t>v3.1</t>
  </si>
  <si>
    <t>Standards update</t>
  </si>
  <si>
    <t>CRS-510</t>
  </si>
  <si>
    <t>Inclusive Leadership</t>
  </si>
  <si>
    <t>Sofia Patel</t>
  </si>
  <si>
    <t>Accessibility review</t>
  </si>
  <si>
    <t>v2.2</t>
  </si>
  <si>
    <t>CRS-520</t>
  </si>
  <si>
    <t>Coaching Conversations</t>
  </si>
  <si>
    <t>v1.0</t>
  </si>
  <si>
    <t>Pilot feedback</t>
  </si>
  <si>
    <t>Low</t>
  </si>
  <si>
    <t>Complete</t>
  </si>
  <si>
    <t>CRS-605</t>
  </si>
  <si>
    <t>Data Storytelling</t>
  </si>
  <si>
    <t>v1.8</t>
  </si>
  <si>
    <t>WCAG alignment</t>
  </si>
  <si>
    <t>CRS-810</t>
  </si>
  <si>
    <t>Experiment Design</t>
  </si>
  <si>
    <t>Product</t>
  </si>
  <si>
    <t>Maya Singh</t>
  </si>
  <si>
    <t>v1.3</t>
  </si>
  <si>
    <t>Privacy</t>
  </si>
  <si>
    <t>Regulation change</t>
  </si>
  <si>
    <t>Legal sign-off needed</t>
  </si>
  <si>
    <t>L&amp;D Manager Playbook</t>
  </si>
  <si>
    <t>MeVn.ai  •  Plan, budget, schedule, track and prove the value of staying audit-ready</t>
  </si>
  <si>
    <t>Stage</t>
  </si>
  <si>
    <t>What to do</t>
  </si>
  <si>
    <t>How to go above and beyond</t>
  </si>
  <si>
    <t>Plan</t>
  </si>
  <si>
    <t>Set Risk Level and Renewal Cycle deliberately for every compliance course and content review — these two fields drive everything downstream, from exposure estimates to the Audit Readiness Score.</t>
  </si>
  <si>
    <t>Align Renewal Cycle and Review Frequency to the actual regulation or policy, not a default annual cadence — over- or under-cycling both create real cost, just in different directions.</t>
  </si>
  <si>
    <t>Budget</t>
  </si>
  <si>
    <t>Cost renewals and content reviews using the Renewal Cost and Review Cost columns — a compliance budget built bottom-up from real records holds up far better than an estimate.</t>
  </si>
  <si>
    <t>Use the Exposure if Overdue figures to argue for headcount or tooling — framing a gap as a quantified dollar exposure gets budget attention that a red status cell alone doesn't.</t>
  </si>
  <si>
    <t>Schedule</t>
  </si>
  <si>
    <t>Stagger renewal and review dates across the year instead of letting them cluster — a wave of simultaneous “Due Soon” records is much harder to work through than a steady drip.</t>
  </si>
  <si>
    <t>Sequence content reviews just ahead of the learner renewal wave for the same course — there's little point sending people through a course that's about to be revised.</t>
  </si>
  <si>
    <t>Track</t>
  </si>
  <si>
    <t>Watch the Audit Readiness Score card at the top of Compliance Renewals — it's a single weighted number for “if an auditor walked in today, where do we stand,” not just a raw overdue count.</t>
  </si>
  <si>
    <t>Watch the Compounding Risk flag on both sheets — a course that's overdue for content review AND has overdue learner renewals is a materially bigger exposure than either issue alone.</t>
  </si>
  <si>
    <t>Implement</t>
  </si>
  <si>
    <t>Close out overdue renewals and reviews in Risk order — Critical and High first — not in whichever order they happen to sit in the table.</t>
  </si>
  <si>
    <t>Don't let “In Progress” Action Status sit unreviewed — a stalled remediation reads the same as an ignored one to an auditor.</t>
  </si>
  <si>
    <t>Measure Impact &amp; ROI</t>
  </si>
  <si>
    <t>Use the calculator below to size your total exposure if nothing gets remediated — it turns a list of red cells into a number leadership will actually act on.</t>
  </si>
  <si>
    <t>Report Audit Readiness Score trend over time, not just the current snapshot — a rising score is the clearest evidence your compliance operation is working.</t>
  </si>
  <si>
    <t>Exposure &amp; ROI Calculator</t>
  </si>
  <si>
    <t>Blue cells are auto-calculated from Compliance Renewals and Maintenance Register. Yellow cells are your inputs — replace the sample figures with your own before you rely on the result.</t>
  </si>
  <si>
    <t>Audit Readiness Score (auto, from Compliance Renewals)</t>
  </si>
  <si>
    <t>Total exposure if all overdue renewals stay unaddressed (auto)</t>
  </si>
  <si>
    <t>Total exposure if all overdue content reviews stay unaddressed (auto)</t>
  </si>
  <si>
    <t>Total exposure across both sheets</t>
  </si>
  <si>
    <t>Estimated cost to remediate every overdue item now (auto: renewal + review cost, overdue rows only)</t>
  </si>
  <si>
    <t>Estimated return per $1 spent remediating now (exposure avoided / remediation cost)</t>
  </si>
  <si>
    <t>Exposure figures use the sample dollar-per-risk-level assumptions on the Lists sheet — they are a planning tool to prioritize remediation, not an audited legal or financial figure. Replace them with your own risk-cost estimates before presenting this to Finance, Legal or leadership.</t>
  </si>
  <si>
    <t>Frequency</t>
  </si>
  <si>
    <t>Exposure ($)</t>
  </si>
  <si>
    <t>Current</t>
  </si>
  <si>
    <t>Annual</t>
  </si>
  <si>
    <t>Due Soon</t>
  </si>
  <si>
    <t>Biennial</t>
  </si>
  <si>
    <t>Overdue</t>
  </si>
  <si>
    <t>Quarterly</t>
  </si>
  <si>
    <t>Exempt</t>
  </si>
  <si>
    <t>As needed</t>
  </si>
  <si>
    <t>Full redesign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</si>
</sst>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d\,\ yyyy"/>
    <numFmt numFmtId="165" formatCode="\$#,##0"/>
    <numFmt numFmtId="166" formatCode="&quot;$&quot;0.00"/>
  </numFmts>
  <fonts count="20">
    <font>
      <sz val="11"/>
      <name val="Carlito"/>
    </font>
    <font>
      <b/>
      <sz val="22"/>
      <color rgb="FFFFFFFF"/>
      <name val="Aptos Display"/>
    </font>
    <font>
      <b/>
      <sz val="11"/>
      <color rgb="FFFFFFFF"/>
      <name val="Aptos"/>
    </font>
    <font>
      <sz val="12"/>
      <color rgb="FF172B4D"/>
      <name val="Aptos"/>
    </font>
    <font>
      <b/>
      <sz val="11"/>
      <color rgb="FFFFFFFF"/>
      <name val="Carlito"/>
    </font>
    <font>
      <sz val="11"/>
      <color rgb="FF172B4D"/>
      <name val="Carlito"/>
    </font>
    <font>
      <i/>
      <sz val="11"/>
      <color rgb="FF7A3E00"/>
      <name val="Carlito"/>
    </font>
    <font>
      <b/>
      <sz val="20"/>
      <color rgb="FFFFFFFF"/>
      <name val="Aptos Display"/>
    </font>
    <font>
      <b/>
      <sz val="11"/>
      <color rgb="FF667085"/>
      <name val="Aptos"/>
    </font>
    <font>
      <b/>
      <sz val="18"/>
      <color rgb="FF17324D"/>
      <name val="Carlito"/>
    </font>
    <font>
      <sz val="10"/>
      <color rgb="FF172B4D"/>
      <name val="Aptos"/>
    </font>
    <font>
      <b/>
      <sz val="10"/>
      <color rgb="FFFFFFFF"/>
      <name val="Carlito"/>
    </font>
    <font>
      <b/>
      <sz val="16"/>
      <color rgb="FF1F4E78"/>
      <name val="Carlito"/>
    </font>
    <font>
      <sz val="11"/>
      <color rgb="FF595959"/>
      <name val="Carlito"/>
    </font>
    <font>
      <b/>
      <sz val="10"/>
      <name val="Carlito"/>
    </font>
    <font>
      <b/>
      <sz val="14"/>
      <color rgb="FF1F4E78"/>
      <name val="Carlito"/>
    </font>
    <font>
      <i/>
      <sz val="9"/>
      <color rgb="FF808080"/>
      <name val="Carlito"/>
    </font>
    <font>
      <sz val="10"/>
      <name val="Carlito"/>
    </font>
    <font>
      <b/>
      <sz val="11"/>
      <name val="Carlito"/>
    </font>
    <font>
      <sz val="11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00A7A0"/>
      </patternFill>
    </fill>
    <fill>
      <patternFill patternType="solid">
        <fgColor rgb="FFDDF5F3"/>
      </patternFill>
    </fill>
    <fill>
      <patternFill patternType="solid">
        <fgColor rgb="FFF7F9FC"/>
      </patternFill>
    </fill>
    <fill>
      <patternFill patternType="solid">
        <fgColor rgb="FFEAF1F8"/>
      </patternFill>
    </fill>
    <fill>
      <patternFill patternType="solid">
        <fgColor rgb="FFFFF2E5"/>
      </patternFill>
    </fill>
    <fill>
      <patternFill patternType="solid">
        <fgColor rgb="FFFFFFFF"/>
      </patternFill>
    </fill>
    <fill>
      <patternFill patternType="solid">
        <fgColor rgb="FFEEF4FB"/>
      </patternFill>
    </fill>
    <fill>
      <patternFill patternType="solid">
        <fgColor rgb="FFFFF7D6"/>
      </patternFill>
    </fill>
    <fill>
      <patternFill patternType="solid">
        <fgColor rgb="FF1F4E78"/>
        <bgColor rgb="FF1F4E78"/>
      </patternFill>
    </fill>
    <fill>
      <patternFill patternType="solid">
        <fgColor rgb="FFEAF1F8"/>
        <bgColor rgb="FFEAF1F8"/>
      </patternFill>
    </fill>
  </fills>
  <borders count="7">
    <border>
      <left/>
      <right/>
      <top/>
      <bottom/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/>
      <bottom style="thin">
        <color rgb="FFD9E2EC"/>
      </bottom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4" fillId="2" borderId="0" xfId="0" applyFont="1" applyFill="1"/>
    <xf numFmtId="0" fontId="2" fillId="2" borderId="0" xfId="0" applyFont="1" applyFill="1" applyAlignment="1">
      <alignment vertical="center" wrapText="1"/>
    </xf>
    <xf numFmtId="0" fontId="10" fillId="10" borderId="2" xfId="0" applyFont="1" applyFill="1" applyBorder="1" applyAlignment="1">
      <alignment vertical="center"/>
    </xf>
    <xf numFmtId="164" fontId="10" fillId="10" borderId="2" xfId="0" applyNumberFormat="1" applyFont="1" applyFill="1" applyBorder="1" applyAlignment="1">
      <alignment vertical="center"/>
    </xf>
    <xf numFmtId="164" fontId="10" fillId="9" borderId="2" xfId="0" applyNumberFormat="1" applyFont="1" applyFill="1" applyBorder="1" applyAlignment="1">
      <alignment vertical="center"/>
    </xf>
    <xf numFmtId="0" fontId="10" fillId="9" borderId="2" xfId="0" applyFont="1" applyFill="1" applyBorder="1" applyAlignment="1">
      <alignment vertical="center"/>
    </xf>
    <xf numFmtId="0" fontId="10" fillId="10" borderId="3" xfId="0" applyFont="1" applyFill="1" applyBorder="1" applyAlignment="1">
      <alignment vertical="center"/>
    </xf>
    <xf numFmtId="164" fontId="10" fillId="10" borderId="3" xfId="0" applyNumberFormat="1" applyFont="1" applyFill="1" applyBorder="1" applyAlignment="1">
      <alignment vertical="center"/>
    </xf>
    <xf numFmtId="164" fontId="10" fillId="9" borderId="3" xfId="0" applyNumberFormat="1" applyFont="1" applyFill="1" applyBorder="1" applyAlignment="1">
      <alignment vertical="center"/>
    </xf>
    <xf numFmtId="0" fontId="10" fillId="9" borderId="3" xfId="0" applyFont="1" applyFill="1" applyBorder="1" applyAlignment="1">
      <alignment vertical="center"/>
    </xf>
    <xf numFmtId="0" fontId="10" fillId="10" borderId="4" xfId="0" applyFont="1" applyFill="1" applyBorder="1" applyAlignment="1">
      <alignment vertical="center"/>
    </xf>
    <xf numFmtId="164" fontId="10" fillId="10" borderId="4" xfId="0" applyNumberFormat="1" applyFont="1" applyFill="1" applyBorder="1" applyAlignment="1">
      <alignment vertical="center"/>
    </xf>
    <xf numFmtId="164" fontId="10" fillId="9" borderId="4" xfId="0" applyNumberFormat="1" applyFont="1" applyFill="1" applyBorder="1" applyAlignment="1">
      <alignment vertical="center"/>
    </xf>
    <xf numFmtId="0" fontId="10" fillId="9" borderId="4" xfId="0" applyFont="1" applyFill="1" applyBorder="1" applyAlignment="1">
      <alignment vertical="center"/>
    </xf>
    <xf numFmtId="0" fontId="11" fillId="11" borderId="0" xfId="0" applyFont="1" applyFill="1" applyAlignment="1">
      <alignment horizontal="center" vertical="center" wrapText="1"/>
    </xf>
    <xf numFmtId="0" fontId="0" fillId="0" borderId="6" xfId="0" applyBorder="1"/>
    <xf numFmtId="165" fontId="0" fillId="0" borderId="6" xfId="0" applyNumberFormat="1" applyBorder="1"/>
    <xf numFmtId="0" fontId="11" fillId="11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4" fillId="12" borderId="6" xfId="0" applyFont="1" applyFill="1" applyBorder="1" applyAlignment="1">
      <alignment vertical="top" wrapText="1"/>
    </xf>
    <xf numFmtId="0" fontId="0" fillId="12" borderId="6" xfId="0" applyFill="1" applyBorder="1" applyAlignment="1">
      <alignment vertical="top" wrapText="1"/>
    </xf>
    <xf numFmtId="9" fontId="18" fillId="12" borderId="6" xfId="0" applyNumberFormat="1" applyFont="1" applyFill="1" applyBorder="1" applyAlignment="1">
      <alignment horizontal="center"/>
    </xf>
    <xf numFmtId="165" fontId="19" fillId="12" borderId="6" xfId="0" applyNumberFormat="1" applyFont="1" applyFill="1" applyBorder="1" applyAlignment="1">
      <alignment horizontal="center"/>
    </xf>
    <xf numFmtId="165" fontId="18" fillId="12" borderId="6" xfId="0" applyNumberFormat="1" applyFont="1" applyFill="1" applyBorder="1" applyAlignment="1">
      <alignment horizontal="center"/>
    </xf>
    <xf numFmtId="166" fontId="18" fillId="12" borderId="6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vertical="top" wrapText="1"/>
    </xf>
    <xf numFmtId="0" fontId="2" fillId="3" borderId="0" xfId="0" applyFont="1" applyFill="1" applyAlignment="1">
      <alignment vertical="center"/>
    </xf>
    <xf numFmtId="0" fontId="0" fillId="0" borderId="0" xfId="0"/>
    <xf numFmtId="0" fontId="5" fillId="0" borderId="0" xfId="0" applyFont="1"/>
    <xf numFmtId="0" fontId="6" fillId="7" borderId="0" xfId="0" applyFont="1" applyFill="1" applyAlignment="1">
      <alignment vertical="center" wrapText="1"/>
    </xf>
    <xf numFmtId="0" fontId="5" fillId="5" borderId="0" xfId="0" applyFont="1" applyFill="1"/>
    <xf numFmtId="0" fontId="3" fillId="4" borderId="0" xfId="0" applyFont="1" applyFill="1" applyAlignment="1">
      <alignment wrapText="1"/>
    </xf>
    <xf numFmtId="0" fontId="2" fillId="2" borderId="0" xfId="0" applyFont="1" applyFill="1" applyAlignment="1">
      <alignment vertical="center"/>
    </xf>
    <xf numFmtId="0" fontId="5" fillId="6" borderId="0" xfId="0" applyFont="1" applyFill="1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9" fontId="9" fillId="0" borderId="0" xfId="0" applyNumberFormat="1" applyFont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0" fillId="0" borderId="1" xfId="0" applyBorder="1"/>
    <xf numFmtId="0" fontId="8" fillId="6" borderId="0" xfId="0" applyFont="1" applyFill="1" applyAlignment="1">
      <alignment vertical="center"/>
    </xf>
    <xf numFmtId="0" fontId="12" fillId="0" borderId="0" xfId="0" applyFont="1"/>
    <xf numFmtId="0" fontId="17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3" fillId="0" borderId="0" xfId="0" applyFont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5">
    <dxf>
      <fill>
        <patternFill patternType="solid">
          <fgColor rgb="FFF8696B"/>
          <bgColor rgb="FFF8696B"/>
        </patternFill>
      </fill>
    </dxf>
    <dxf>
      <font>
        <b/>
        <color rgb="FFD9534F"/>
      </font>
      <fill>
        <patternFill patternType="solid">
          <bgColor rgb="FFFDE8E7"/>
        </patternFill>
      </fill>
    </dxf>
    <dxf>
      <fill>
        <patternFill patternType="solid">
          <fgColor rgb="FFF8696B"/>
          <bgColor rgb="FFF8696B"/>
        </patternFill>
      </fill>
    </dxf>
    <dxf>
      <font>
        <b/>
        <color rgb="FF8A5A00"/>
      </font>
      <fill>
        <patternFill patternType="solid">
          <bgColor rgb="FFFFF2CC"/>
        </patternFill>
      </fill>
    </dxf>
    <dxf>
      <font>
        <b/>
        <color rgb="FFD9534F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mplianceRenewalsTable" displayName="ComplianceRenewalsTable" ref="A8:S20" totalsRowShown="0">
  <autoFilter ref="A8:S20" xr:uid="{00000000-0009-0000-0100-000001000000}"/>
  <tableColumns count="19">
    <tableColumn id="1" xr3:uid="{00000000-0010-0000-0000-000001000000}" name="Record ID"/>
    <tableColumn id="2" xr3:uid="{00000000-0010-0000-0000-000002000000}" name="Employee ID"/>
    <tableColumn id="3" xr3:uid="{00000000-0010-0000-0000-000003000000}" name="Learner Name"/>
    <tableColumn id="4" xr3:uid="{00000000-0010-0000-0000-000004000000}" name="Department"/>
    <tableColumn id="5" xr3:uid="{00000000-0010-0000-0000-000005000000}" name="Course ID"/>
    <tableColumn id="6" xr3:uid="{00000000-0010-0000-0000-000006000000}" name="Compliance Course"/>
    <tableColumn id="7" xr3:uid="{00000000-0010-0000-0000-000007000000}" name="Completion Date"/>
    <tableColumn id="8" xr3:uid="{00000000-0010-0000-0000-000008000000}" name="Renewal Cycle (Months)"/>
    <tableColumn id="9" xr3:uid="{00000000-0010-0000-0000-000009000000}" name="Renewal Due"/>
    <tableColumn id="10" xr3:uid="{00000000-0010-0000-0000-00000A000000}" name="Days Remaining"/>
    <tableColumn id="11" xr3:uid="{00000000-0010-0000-0000-00000B000000}" name="Evidence Link"/>
    <tableColumn id="12" xr3:uid="{00000000-0010-0000-0000-00000C000000}" name="Owner"/>
    <tableColumn id="13" xr3:uid="{00000000-0010-0000-0000-00000D000000}" name="Status"/>
    <tableColumn id="14" xr3:uid="{00000000-0010-0000-0000-00000E000000}" name="Notes"/>
    <tableColumn id="15" xr3:uid="{00000000-0010-0000-0000-00000F000000}" name="Risk Level"/>
    <tableColumn id="16" xr3:uid="{00000000-0010-0000-0000-000010000000}" name="Renewal Cost per Learner"/>
    <tableColumn id="17" xr3:uid="{00000000-0010-0000-0000-000011000000}" name="Max Exposure"/>
    <tableColumn id="18" xr3:uid="{00000000-0010-0000-0000-000012000000}" name="Exposure if Overdue"/>
    <tableColumn id="19" xr3:uid="{00000000-0010-0000-0000-000013000000}" name="Compounding Ris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intenanceRegisterTable" displayName="MaintenanceRegisterTable" ref="A8:Q20" totalsRowShown="0">
  <autoFilter ref="A8:Q20" xr:uid="{00000000-0009-0000-0100-000002000000}"/>
  <tableColumns count="17">
    <tableColumn id="1" xr3:uid="{00000000-0010-0000-0100-000001000000}" name="Course ID"/>
    <tableColumn id="2" xr3:uid="{00000000-0010-0000-0100-000002000000}" name="Course Title"/>
    <tableColumn id="3" xr3:uid="{00000000-0010-0000-0100-000003000000}" name="Business Owner"/>
    <tableColumn id="4" xr3:uid="{00000000-0010-0000-0100-000004000000}" name="Content Owner"/>
    <tableColumn id="5" xr3:uid="{00000000-0010-0000-0100-000005000000}" name="Last Review"/>
    <tableColumn id="6" xr3:uid="{00000000-0010-0000-0100-000006000000}" name="Review Frequency (Months)"/>
    <tableColumn id="7" xr3:uid="{00000000-0010-0000-0100-000007000000}" name="Next Review"/>
    <tableColumn id="8" xr3:uid="{00000000-0010-0000-0100-000008000000}" name="Review Type"/>
    <tableColumn id="9" xr3:uid="{00000000-0010-0000-0100-000009000000}" name="Version"/>
    <tableColumn id="10" xr3:uid="{00000000-0010-0000-0100-00000A000000}" name="Change Trigger"/>
    <tableColumn id="11" xr3:uid="{00000000-0010-0000-0100-00000B000000}" name="Risk"/>
    <tableColumn id="12" xr3:uid="{00000000-0010-0000-0100-00000C000000}" name="Timing"/>
    <tableColumn id="13" xr3:uid="{00000000-0010-0000-0100-00000D000000}" name="Action Status"/>
    <tableColumn id="14" xr3:uid="{00000000-0010-0000-0100-00000E000000}" name="Notes"/>
    <tableColumn id="15" xr3:uid="{00000000-0010-0000-0100-00000F000000}" name="Review Cost"/>
    <tableColumn id="16" xr3:uid="{00000000-0010-0000-0100-000010000000}" name="Exposure if Overdue"/>
    <tableColumn id="17" xr3:uid="{00000000-0010-0000-0100-000011000000}" name="Compounding Ris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workbookViewId="0">
      <selection sqref="A1:H2"/>
    </sheetView>
  </sheetViews>
  <sheetFormatPr defaultRowHeight="13.8"/>
  <cols>
    <col min="1" max="1" width="8" customWidth="1"/>
    <col min="2" max="2" width="54" customWidth="1"/>
    <col min="3" max="3" width="3" customWidth="1"/>
    <col min="4" max="6" width="24" customWidth="1"/>
    <col min="7" max="8" width="3" customWidth="1"/>
  </cols>
  <sheetData>
    <row r="1" spans="1:8" ht="28.05" customHeight="1">
      <c r="A1" s="40" t="s">
        <v>0</v>
      </c>
      <c r="B1" s="33"/>
      <c r="C1" s="33"/>
      <c r="D1" s="33"/>
      <c r="E1" s="33"/>
      <c r="F1" s="33"/>
      <c r="G1" s="33"/>
      <c r="H1" s="33"/>
    </row>
    <row r="2" spans="1:8" ht="28.05" customHeight="1">
      <c r="A2" s="33"/>
      <c r="B2" s="33"/>
      <c r="C2" s="33"/>
      <c r="D2" s="33"/>
      <c r="E2" s="33"/>
      <c r="F2" s="33"/>
      <c r="G2" s="33"/>
      <c r="H2" s="33"/>
    </row>
    <row r="3" spans="1:8" ht="22.05" customHeight="1">
      <c r="A3" s="32" t="s">
        <v>1</v>
      </c>
      <c r="B3" s="33"/>
      <c r="C3" s="33"/>
      <c r="D3" s="33"/>
      <c r="E3" s="33"/>
      <c r="F3" s="33"/>
      <c r="G3" s="33"/>
      <c r="H3" s="33"/>
    </row>
    <row r="4" spans="1:8" ht="22.05" customHeight="1"/>
    <row r="5" spans="1:8" ht="22.05" customHeight="1">
      <c r="A5" s="37" t="s">
        <v>2</v>
      </c>
      <c r="B5" s="33"/>
      <c r="C5" s="33"/>
      <c r="D5" s="33"/>
      <c r="E5" s="33"/>
      <c r="F5" s="33"/>
      <c r="G5" s="33"/>
      <c r="H5" s="33"/>
    </row>
    <row r="6" spans="1:8" ht="22.05" customHeight="1"/>
    <row r="7" spans="1:8" ht="22.05" customHeight="1">
      <c r="A7" s="1" t="s">
        <v>3</v>
      </c>
      <c r="B7" s="1" t="s">
        <v>4</v>
      </c>
      <c r="D7" s="38" t="s">
        <v>5</v>
      </c>
      <c r="E7" s="33"/>
      <c r="F7" s="33"/>
    </row>
    <row r="8" spans="1:8" ht="27.6">
      <c r="A8" s="2" t="s">
        <v>6</v>
      </c>
      <c r="B8" s="3" t="s">
        <v>7</v>
      </c>
      <c r="D8" s="39" t="s">
        <v>8</v>
      </c>
      <c r="E8" s="33"/>
      <c r="F8" s="33"/>
    </row>
    <row r="9" spans="1:8">
      <c r="A9" s="2" t="s">
        <v>9</v>
      </c>
      <c r="B9" s="3" t="s">
        <v>10</v>
      </c>
      <c r="D9" s="36" t="s">
        <v>11</v>
      </c>
      <c r="E9" s="33"/>
      <c r="F9" s="33"/>
    </row>
    <row r="10" spans="1:8" ht="27.6">
      <c r="A10" s="2" t="s">
        <v>12</v>
      </c>
      <c r="B10" s="3" t="s">
        <v>13</v>
      </c>
      <c r="D10" s="39" t="s">
        <v>14</v>
      </c>
      <c r="E10" s="33"/>
      <c r="F10" s="33"/>
    </row>
    <row r="11" spans="1:8" ht="27.6">
      <c r="A11" s="2" t="s">
        <v>15</v>
      </c>
      <c r="B11" s="3" t="s">
        <v>16</v>
      </c>
      <c r="D11" s="34" t="s">
        <v>17</v>
      </c>
      <c r="E11" s="33"/>
      <c r="F11" s="33"/>
    </row>
    <row r="12" spans="1:8" ht="27.6">
      <c r="A12" s="2" t="s">
        <v>18</v>
      </c>
      <c r="B12" s="3" t="s">
        <v>19</v>
      </c>
    </row>
    <row r="13" spans="1:8" ht="30" customHeight="1">
      <c r="A13" s="30" t="s">
        <v>20</v>
      </c>
      <c r="B13" s="31" t="s">
        <v>21</v>
      </c>
    </row>
    <row r="14" spans="1:8" ht="22.05" customHeight="1"/>
    <row r="15" spans="1:8" ht="22.05" customHeight="1">
      <c r="A15" s="35" t="s">
        <v>22</v>
      </c>
      <c r="B15" s="33"/>
      <c r="C15" s="33"/>
      <c r="D15" s="33"/>
      <c r="E15" s="33"/>
      <c r="F15" s="33"/>
      <c r="G15" s="33"/>
      <c r="H15" s="33"/>
    </row>
    <row r="16" spans="1:8" ht="22.05" customHeight="1">
      <c r="A16" s="33"/>
      <c r="B16" s="33"/>
      <c r="C16" s="33"/>
      <c r="D16" s="33"/>
      <c r="E16" s="33"/>
      <c r="F16" s="33"/>
      <c r="G16" s="33"/>
      <c r="H16" s="33"/>
    </row>
    <row r="17" spans="1:8" ht="22.05" customHeight="1">
      <c r="A17" s="33"/>
      <c r="B17" s="33"/>
      <c r="C17" s="33"/>
      <c r="D17" s="33"/>
      <c r="E17" s="33"/>
      <c r="F17" s="33"/>
      <c r="G17" s="33"/>
      <c r="H17" s="33"/>
    </row>
  </sheetData>
  <mergeCells count="9">
    <mergeCell ref="A1:H2"/>
    <mergeCell ref="D10:F10"/>
    <mergeCell ref="A3:H3"/>
    <mergeCell ref="D11:F11"/>
    <mergeCell ref="A15:H17"/>
    <mergeCell ref="D9:F9"/>
    <mergeCell ref="A5:H5"/>
    <mergeCell ref="D7:F7"/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0"/>
  <sheetViews>
    <sheetView showGridLines="0" topLeftCell="H1" workbookViewId="0">
      <selection sqref="A1:N2"/>
    </sheetView>
  </sheetViews>
  <sheetFormatPr defaultRowHeight="13.8"/>
  <cols>
    <col min="1" max="2" width="12" customWidth="1"/>
    <col min="3" max="3" width="20" customWidth="1"/>
    <col min="4" max="4" width="17" customWidth="1"/>
    <col min="5" max="5" width="12" customWidth="1"/>
    <col min="6" max="6" width="29" customWidth="1"/>
    <col min="7" max="7" width="16" customWidth="1"/>
    <col min="8" max="8" width="18" customWidth="1"/>
    <col min="9" max="9" width="15" customWidth="1"/>
    <col min="10" max="10" width="14" customWidth="1"/>
    <col min="11" max="11" width="20" customWidth="1"/>
    <col min="12" max="12" width="18" customWidth="1"/>
    <col min="13" max="13" width="13" customWidth="1"/>
    <col min="14" max="14" width="23" customWidth="1"/>
    <col min="15" max="15" width="12" customWidth="1"/>
    <col min="16" max="16" width="16" customWidth="1"/>
    <col min="17" max="17" width="14" customWidth="1"/>
    <col min="18" max="18" width="15" customWidth="1"/>
    <col min="19" max="19" width="16" customWidth="1"/>
  </cols>
  <sheetData>
    <row r="1" spans="1:19">
      <c r="A1" s="41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9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9" ht="14.4">
      <c r="A3" s="32" t="s">
        <v>24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5" spans="1:19" ht="14.4">
      <c r="A5" s="45" t="s">
        <v>25</v>
      </c>
      <c r="B5" s="33"/>
      <c r="C5" s="45" t="s">
        <v>26</v>
      </c>
      <c r="D5" s="33"/>
      <c r="E5" s="45" t="s">
        <v>27</v>
      </c>
      <c r="F5" s="33"/>
      <c r="G5" s="45" t="s">
        <v>28</v>
      </c>
      <c r="H5" s="33"/>
      <c r="I5" s="45" t="s">
        <v>29</v>
      </c>
      <c r="J5" s="33"/>
      <c r="K5" s="33"/>
      <c r="L5" s="33"/>
      <c r="M5" s="33"/>
      <c r="N5" s="33"/>
    </row>
    <row r="6" spans="1:19" ht="22.8">
      <c r="A6" s="43">
        <f>COUNTA(A9:A20)</f>
        <v>12</v>
      </c>
      <c r="B6" s="44"/>
      <c r="C6" s="43">
        <f ca="1">COUNTIF(M9:M20,"Current")</f>
        <v>6</v>
      </c>
      <c r="D6" s="44"/>
      <c r="E6" s="43">
        <f ca="1">COUNTIF(M9:M20,"Due Soon")</f>
        <v>4</v>
      </c>
      <c r="F6" s="44"/>
      <c r="G6" s="43">
        <f ca="1">COUNTIF(M9:M20,"Overdue")</f>
        <v>2</v>
      </c>
      <c r="H6" s="44"/>
      <c r="I6" s="42">
        <f ca="1">IFERROR(1-SUM(R9:R20)/SUM(Q9:Q20),1)</f>
        <v>0.91666666666666663</v>
      </c>
      <c r="J6" s="33"/>
      <c r="K6" s="33"/>
      <c r="L6" s="33"/>
      <c r="M6" s="33"/>
      <c r="N6" s="33"/>
    </row>
    <row r="8" spans="1:19" ht="28.8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  <c r="L8" s="5" t="s">
        <v>41</v>
      </c>
      <c r="M8" s="5" t="s">
        <v>42</v>
      </c>
      <c r="N8" s="5" t="s">
        <v>43</v>
      </c>
      <c r="O8" s="18" t="s">
        <v>44</v>
      </c>
      <c r="P8" s="18" t="s">
        <v>45</v>
      </c>
      <c r="Q8" s="18" t="s">
        <v>46</v>
      </c>
      <c r="R8" s="18" t="s">
        <v>47</v>
      </c>
      <c r="S8" s="18" t="s">
        <v>48</v>
      </c>
    </row>
    <row r="9" spans="1:19">
      <c r="A9" s="6" t="s">
        <v>49</v>
      </c>
      <c r="B9" s="6" t="s">
        <v>50</v>
      </c>
      <c r="C9" s="6" t="s">
        <v>51</v>
      </c>
      <c r="D9" s="6" t="s">
        <v>52</v>
      </c>
      <c r="E9" s="6" t="s">
        <v>53</v>
      </c>
      <c r="F9" s="6" t="s">
        <v>54</v>
      </c>
      <c r="G9" s="7">
        <v>45884</v>
      </c>
      <c r="H9" s="6">
        <v>12</v>
      </c>
      <c r="I9" s="8">
        <f t="shared" ref="I9:I20" si="0">EDATE(G9,H9)</f>
        <v>46249</v>
      </c>
      <c r="J9" s="9">
        <f t="shared" ref="J9:J20" ca="1" si="1">I9-TODAY()</f>
        <v>20</v>
      </c>
      <c r="K9" s="6" t="s">
        <v>55</v>
      </c>
      <c r="L9" s="6" t="s">
        <v>56</v>
      </c>
      <c r="M9" s="9" t="str">
        <f t="shared" ref="M9:M20" ca="1" si="2">IF(J9&lt;0,"Overdue",IF(J9&lt;=30,"Due Soon","Current"))</f>
        <v>Due Soon</v>
      </c>
      <c r="N9" s="6"/>
      <c r="O9" s="19" t="s">
        <v>57</v>
      </c>
      <c r="P9" s="20">
        <v>120</v>
      </c>
      <c r="Q9" s="20">
        <f>IFERROR(VLOOKUP(O9,Lists!$F$2:$G$5,2,FALSE),0)</f>
        <v>8000</v>
      </c>
      <c r="R9" s="20">
        <f t="shared" ref="R9:R20" ca="1" si="3">IF(M9="Overdue",Q9,0)</f>
        <v>0</v>
      </c>
      <c r="S9" s="19" t="str">
        <f ca="1">IF(AND(M9="Overdue",COUNTIFS('Maintenance Register'!$A$9:$A$20,E9,'Maintenance Register'!$L$9:$L$20,"Overdue")&gt;0),"Compounding Risk","")</f>
        <v/>
      </c>
    </row>
    <row r="10" spans="1:19">
      <c r="A10" s="10" t="s">
        <v>58</v>
      </c>
      <c r="B10" s="10" t="s">
        <v>59</v>
      </c>
      <c r="C10" s="10" t="s">
        <v>60</v>
      </c>
      <c r="D10" s="10" t="s">
        <v>61</v>
      </c>
      <c r="E10" s="10" t="s">
        <v>62</v>
      </c>
      <c r="F10" s="10" t="s">
        <v>63</v>
      </c>
      <c r="G10" s="11">
        <v>45901</v>
      </c>
      <c r="H10" s="10">
        <v>12</v>
      </c>
      <c r="I10" s="12">
        <f t="shared" si="0"/>
        <v>46266</v>
      </c>
      <c r="J10" s="13">
        <f t="shared" ca="1" si="1"/>
        <v>37</v>
      </c>
      <c r="K10" s="10" t="s">
        <v>64</v>
      </c>
      <c r="L10" s="10" t="s">
        <v>65</v>
      </c>
      <c r="M10" s="13" t="str">
        <f t="shared" ca="1" si="2"/>
        <v>Current</v>
      </c>
      <c r="N10" s="10"/>
      <c r="O10" s="19" t="s">
        <v>66</v>
      </c>
      <c r="P10" s="20">
        <v>250</v>
      </c>
      <c r="Q10" s="20">
        <f>IFERROR(VLOOKUP(O10,Lists!$F$2:$G$5,2,FALSE),0)</f>
        <v>25000</v>
      </c>
      <c r="R10" s="20">
        <f t="shared" ca="1" si="3"/>
        <v>0</v>
      </c>
      <c r="S10" s="19" t="str">
        <f ca="1">IF(AND(M10="Overdue",COUNTIFS('Maintenance Register'!$A$9:$A$20,E10,'Maintenance Register'!$L$9:$L$20,"Overdue")&gt;0),"Compounding Risk","")</f>
        <v/>
      </c>
    </row>
    <row r="11" spans="1:19">
      <c r="A11" s="10" t="s">
        <v>67</v>
      </c>
      <c r="B11" s="10" t="s">
        <v>68</v>
      </c>
      <c r="C11" s="10" t="s">
        <v>69</v>
      </c>
      <c r="D11" s="10" t="s">
        <v>70</v>
      </c>
      <c r="E11" s="10" t="s">
        <v>71</v>
      </c>
      <c r="F11" s="10" t="s">
        <v>72</v>
      </c>
      <c r="G11" s="11">
        <v>45848</v>
      </c>
      <c r="H11" s="10">
        <v>12</v>
      </c>
      <c r="I11" s="12">
        <f t="shared" si="0"/>
        <v>46213</v>
      </c>
      <c r="J11" s="13">
        <f t="shared" ca="1" si="1"/>
        <v>-16</v>
      </c>
      <c r="K11" s="10" t="s">
        <v>64</v>
      </c>
      <c r="L11" s="10" t="s">
        <v>73</v>
      </c>
      <c r="M11" s="13" t="str">
        <f t="shared" ca="1" si="2"/>
        <v>Overdue</v>
      </c>
      <c r="N11" s="10"/>
      <c r="O11" s="19" t="s">
        <v>57</v>
      </c>
      <c r="P11" s="20">
        <v>220</v>
      </c>
      <c r="Q11" s="20">
        <f>IFERROR(VLOOKUP(O11,Lists!$F$2:$G$5,2,FALSE),0)</f>
        <v>8000</v>
      </c>
      <c r="R11" s="20">
        <f t="shared" ca="1" si="3"/>
        <v>8000</v>
      </c>
      <c r="S11" s="19" t="str">
        <f ca="1">IF(AND(M11="Overdue",COUNTIFS('Maintenance Register'!$A$9:$A$20,E11,'Maintenance Register'!$L$9:$L$20,"Overdue")&gt;0),"Compounding Risk","")</f>
        <v/>
      </c>
    </row>
    <row r="12" spans="1:19">
      <c r="A12" s="10" t="s">
        <v>74</v>
      </c>
      <c r="B12" s="10" t="s">
        <v>75</v>
      </c>
      <c r="C12" s="10" t="s">
        <v>76</v>
      </c>
      <c r="D12" s="10" t="s">
        <v>77</v>
      </c>
      <c r="E12" s="10" t="s">
        <v>78</v>
      </c>
      <c r="F12" s="10" t="s">
        <v>79</v>
      </c>
      <c r="G12" s="11">
        <v>46073</v>
      </c>
      <c r="H12" s="10">
        <v>6</v>
      </c>
      <c r="I12" s="12">
        <f t="shared" si="0"/>
        <v>46254</v>
      </c>
      <c r="J12" s="13">
        <f t="shared" ca="1" si="1"/>
        <v>25</v>
      </c>
      <c r="K12" s="10" t="s">
        <v>64</v>
      </c>
      <c r="L12" s="10" t="s">
        <v>80</v>
      </c>
      <c r="M12" s="13" t="str">
        <f t="shared" ca="1" si="2"/>
        <v>Due Soon</v>
      </c>
      <c r="N12" s="10"/>
      <c r="O12" s="19" t="s">
        <v>66</v>
      </c>
      <c r="P12" s="20">
        <v>60</v>
      </c>
      <c r="Q12" s="20">
        <f>IFERROR(VLOOKUP(O12,Lists!$F$2:$G$5,2,FALSE),0)</f>
        <v>25000</v>
      </c>
      <c r="R12" s="20">
        <f t="shared" ca="1" si="3"/>
        <v>0</v>
      </c>
      <c r="S12" s="19" t="str">
        <f ca="1">IF(AND(M12="Overdue",COUNTIFS('Maintenance Register'!$A$9:$A$20,E12,'Maintenance Register'!$L$9:$L$20,"Overdue")&gt;0),"Compounding Risk","")</f>
        <v/>
      </c>
    </row>
    <row r="13" spans="1:19">
      <c r="A13" s="10" t="s">
        <v>81</v>
      </c>
      <c r="B13" s="10" t="s">
        <v>82</v>
      </c>
      <c r="C13" s="10" t="s">
        <v>83</v>
      </c>
      <c r="D13" s="10" t="s">
        <v>84</v>
      </c>
      <c r="E13" s="10" t="s">
        <v>85</v>
      </c>
      <c r="F13" s="10" t="s">
        <v>86</v>
      </c>
      <c r="G13" s="11">
        <v>45931</v>
      </c>
      <c r="H13" s="10">
        <v>12</v>
      </c>
      <c r="I13" s="12">
        <f t="shared" si="0"/>
        <v>46296</v>
      </c>
      <c r="J13" s="13">
        <f t="shared" ca="1" si="1"/>
        <v>67</v>
      </c>
      <c r="K13" s="10" t="s">
        <v>87</v>
      </c>
      <c r="L13" s="10" t="s">
        <v>88</v>
      </c>
      <c r="M13" s="13" t="str">
        <f t="shared" ca="1" si="2"/>
        <v>Current</v>
      </c>
      <c r="N13" s="10"/>
      <c r="O13" s="19" t="s">
        <v>66</v>
      </c>
      <c r="P13" s="20">
        <v>150</v>
      </c>
      <c r="Q13" s="20">
        <f>IFERROR(VLOOKUP(O13,Lists!$F$2:$G$5,2,FALSE),0)</f>
        <v>25000</v>
      </c>
      <c r="R13" s="20">
        <f t="shared" ca="1" si="3"/>
        <v>0</v>
      </c>
      <c r="S13" s="19" t="str">
        <f ca="1">IF(AND(M13="Overdue",COUNTIFS('Maintenance Register'!$A$9:$A$20,E13,'Maintenance Register'!$L$9:$L$20,"Overdue")&gt;0),"Compounding Risk","")</f>
        <v/>
      </c>
    </row>
    <row r="14" spans="1:19">
      <c r="A14" s="10" t="s">
        <v>89</v>
      </c>
      <c r="B14" s="10" t="s">
        <v>90</v>
      </c>
      <c r="C14" s="10" t="s">
        <v>91</v>
      </c>
      <c r="D14" s="10" t="s">
        <v>52</v>
      </c>
      <c r="E14" s="10" t="s">
        <v>53</v>
      </c>
      <c r="F14" s="10" t="s">
        <v>54</v>
      </c>
      <c r="G14" s="11">
        <v>45833</v>
      </c>
      <c r="H14" s="10">
        <v>12</v>
      </c>
      <c r="I14" s="12">
        <f t="shared" si="0"/>
        <v>46198</v>
      </c>
      <c r="J14" s="13">
        <f t="shared" ca="1" si="1"/>
        <v>-31</v>
      </c>
      <c r="K14" s="10" t="s">
        <v>55</v>
      </c>
      <c r="L14" s="10" t="s">
        <v>56</v>
      </c>
      <c r="M14" s="13" t="str">
        <f t="shared" ca="1" si="2"/>
        <v>Overdue</v>
      </c>
      <c r="N14" s="10"/>
      <c r="O14" s="19" t="s">
        <v>57</v>
      </c>
      <c r="P14" s="20">
        <v>120</v>
      </c>
      <c r="Q14" s="20">
        <f>IFERROR(VLOOKUP(O14,Lists!$F$2:$G$5,2,FALSE),0)</f>
        <v>8000</v>
      </c>
      <c r="R14" s="20">
        <f t="shared" ca="1" si="3"/>
        <v>8000</v>
      </c>
      <c r="S14" s="19" t="str">
        <f ca="1">IF(AND(M14="Overdue",COUNTIFS('Maintenance Register'!$A$9:$A$20,E14,'Maintenance Register'!$L$9:$L$20,"Overdue")&gt;0),"Compounding Risk","")</f>
        <v/>
      </c>
    </row>
    <row r="15" spans="1:19">
      <c r="A15" s="10" t="s">
        <v>92</v>
      </c>
      <c r="B15" s="10" t="s">
        <v>93</v>
      </c>
      <c r="C15" s="10" t="s">
        <v>94</v>
      </c>
      <c r="D15" s="10" t="s">
        <v>61</v>
      </c>
      <c r="E15" s="10" t="s">
        <v>62</v>
      </c>
      <c r="F15" s="10" t="s">
        <v>63</v>
      </c>
      <c r="G15" s="11">
        <v>46037</v>
      </c>
      <c r="H15" s="10">
        <v>12</v>
      </c>
      <c r="I15" s="12">
        <f t="shared" si="0"/>
        <v>46402</v>
      </c>
      <c r="J15" s="13">
        <f t="shared" ca="1" si="1"/>
        <v>173</v>
      </c>
      <c r="K15" s="10" t="s">
        <v>64</v>
      </c>
      <c r="L15" s="10" t="s">
        <v>65</v>
      </c>
      <c r="M15" s="13" t="str">
        <f t="shared" ca="1" si="2"/>
        <v>Current</v>
      </c>
      <c r="N15" s="10"/>
      <c r="O15" s="19" t="s">
        <v>66</v>
      </c>
      <c r="P15" s="20">
        <v>250</v>
      </c>
      <c r="Q15" s="20">
        <f>IFERROR(VLOOKUP(O15,Lists!$F$2:$G$5,2,FALSE),0)</f>
        <v>25000</v>
      </c>
      <c r="R15" s="20">
        <f t="shared" ca="1" si="3"/>
        <v>0</v>
      </c>
      <c r="S15" s="19" t="str">
        <f ca="1">IF(AND(M15="Overdue",COUNTIFS('Maintenance Register'!$A$9:$A$20,E15,'Maintenance Register'!$L$9:$L$20,"Overdue")&gt;0),"Compounding Risk","")</f>
        <v/>
      </c>
    </row>
    <row r="16" spans="1:19">
      <c r="A16" s="10" t="s">
        <v>95</v>
      </c>
      <c r="B16" s="10" t="s">
        <v>96</v>
      </c>
      <c r="C16" s="10" t="s">
        <v>97</v>
      </c>
      <c r="D16" s="10" t="s">
        <v>70</v>
      </c>
      <c r="E16" s="10" t="s">
        <v>71</v>
      </c>
      <c r="F16" s="10" t="s">
        <v>72</v>
      </c>
      <c r="G16" s="11">
        <v>46096</v>
      </c>
      <c r="H16" s="10">
        <v>12</v>
      </c>
      <c r="I16" s="12">
        <f t="shared" si="0"/>
        <v>46461</v>
      </c>
      <c r="J16" s="13">
        <f t="shared" ca="1" si="1"/>
        <v>232</v>
      </c>
      <c r="K16" s="10" t="s">
        <v>64</v>
      </c>
      <c r="L16" s="10" t="s">
        <v>73</v>
      </c>
      <c r="M16" s="13" t="str">
        <f t="shared" ca="1" si="2"/>
        <v>Current</v>
      </c>
      <c r="N16" s="10"/>
      <c r="O16" s="19" t="s">
        <v>57</v>
      </c>
      <c r="P16" s="20">
        <v>220</v>
      </c>
      <c r="Q16" s="20">
        <f>IFERROR(VLOOKUP(O16,Lists!$F$2:$G$5,2,FALSE),0)</f>
        <v>8000</v>
      </c>
      <c r="R16" s="20">
        <f t="shared" ca="1" si="3"/>
        <v>0</v>
      </c>
      <c r="S16" s="19" t="str">
        <f ca="1">IF(AND(M16="Overdue",COUNTIFS('Maintenance Register'!$A$9:$A$20,E16,'Maintenance Register'!$L$9:$L$20,"Overdue")&gt;0),"Compounding Risk","")</f>
        <v/>
      </c>
    </row>
    <row r="17" spans="1:19">
      <c r="A17" s="10" t="s">
        <v>98</v>
      </c>
      <c r="B17" s="10" t="s">
        <v>99</v>
      </c>
      <c r="C17" s="10" t="s">
        <v>100</v>
      </c>
      <c r="D17" s="10" t="s">
        <v>101</v>
      </c>
      <c r="E17" s="10" t="s">
        <v>102</v>
      </c>
      <c r="F17" s="10" t="s">
        <v>103</v>
      </c>
      <c r="G17" s="11">
        <v>45874</v>
      </c>
      <c r="H17" s="10">
        <v>12</v>
      </c>
      <c r="I17" s="12">
        <f t="shared" si="0"/>
        <v>46239</v>
      </c>
      <c r="J17" s="13">
        <f t="shared" ca="1" si="1"/>
        <v>10</v>
      </c>
      <c r="K17" s="10" t="s">
        <v>87</v>
      </c>
      <c r="L17" s="10" t="s">
        <v>104</v>
      </c>
      <c r="M17" s="13" t="str">
        <f t="shared" ca="1" si="2"/>
        <v>Due Soon</v>
      </c>
      <c r="N17" s="10"/>
      <c r="O17" s="19" t="s">
        <v>66</v>
      </c>
      <c r="P17" s="20">
        <v>140</v>
      </c>
      <c r="Q17" s="20">
        <f>IFERROR(VLOOKUP(O17,Lists!$F$2:$G$5,2,FALSE),0)</f>
        <v>25000</v>
      </c>
      <c r="R17" s="20">
        <f t="shared" ca="1" si="3"/>
        <v>0</v>
      </c>
      <c r="S17" s="19" t="str">
        <f ca="1">IF(AND(M17="Overdue",COUNTIFS('Maintenance Register'!$A$9:$A$20,E17,'Maintenance Register'!$L$9:$L$20,"Overdue")&gt;0),"Compounding Risk","")</f>
        <v/>
      </c>
    </row>
    <row r="18" spans="1:19">
      <c r="A18" s="10" t="s">
        <v>105</v>
      </c>
      <c r="B18" s="10" t="s">
        <v>106</v>
      </c>
      <c r="C18" s="10" t="s">
        <v>107</v>
      </c>
      <c r="D18" s="10" t="s">
        <v>108</v>
      </c>
      <c r="E18" s="10" t="s">
        <v>78</v>
      </c>
      <c r="F18" s="10" t="s">
        <v>79</v>
      </c>
      <c r="G18" s="11">
        <v>46050</v>
      </c>
      <c r="H18" s="10">
        <v>6</v>
      </c>
      <c r="I18" s="12">
        <f t="shared" si="0"/>
        <v>46231</v>
      </c>
      <c r="J18" s="13">
        <f t="shared" ca="1" si="1"/>
        <v>2</v>
      </c>
      <c r="K18" s="10" t="s">
        <v>64</v>
      </c>
      <c r="L18" s="10" t="s">
        <v>80</v>
      </c>
      <c r="M18" s="13" t="str">
        <f t="shared" ca="1" si="2"/>
        <v>Due Soon</v>
      </c>
      <c r="N18" s="10"/>
      <c r="O18" s="19" t="s">
        <v>66</v>
      </c>
      <c r="P18" s="20">
        <v>60</v>
      </c>
      <c r="Q18" s="20">
        <f>IFERROR(VLOOKUP(O18,Lists!$F$2:$G$5,2,FALSE),0)</f>
        <v>25000</v>
      </c>
      <c r="R18" s="20">
        <f t="shared" ca="1" si="3"/>
        <v>0</v>
      </c>
      <c r="S18" s="19" t="str">
        <f ca="1">IF(AND(M18="Overdue",COUNTIFS('Maintenance Register'!$A$9:$A$20,E18,'Maintenance Register'!$L$9:$L$20,"Overdue")&gt;0),"Compounding Risk","")</f>
        <v/>
      </c>
    </row>
    <row r="19" spans="1:19">
      <c r="A19" s="10" t="s">
        <v>109</v>
      </c>
      <c r="B19" s="10" t="s">
        <v>110</v>
      </c>
      <c r="C19" s="10" t="s">
        <v>111</v>
      </c>
      <c r="D19" s="10" t="s">
        <v>112</v>
      </c>
      <c r="E19" s="10" t="s">
        <v>113</v>
      </c>
      <c r="F19" s="10" t="s">
        <v>114</v>
      </c>
      <c r="G19" s="11">
        <v>45992</v>
      </c>
      <c r="H19" s="10">
        <v>24</v>
      </c>
      <c r="I19" s="12">
        <f t="shared" si="0"/>
        <v>46722</v>
      </c>
      <c r="J19" s="13">
        <f t="shared" ca="1" si="1"/>
        <v>493</v>
      </c>
      <c r="K19" s="10" t="s">
        <v>64</v>
      </c>
      <c r="L19" s="10" t="s">
        <v>115</v>
      </c>
      <c r="M19" s="13" t="str">
        <f t="shared" ca="1" si="2"/>
        <v>Current</v>
      </c>
      <c r="N19" s="10"/>
      <c r="O19" s="19" t="s">
        <v>116</v>
      </c>
      <c r="P19" s="20">
        <v>100</v>
      </c>
      <c r="Q19" s="20">
        <f>IFERROR(VLOOKUP(O19,Lists!$F$2:$G$5,2,FALSE),0)</f>
        <v>2000</v>
      </c>
      <c r="R19" s="20">
        <f t="shared" ca="1" si="3"/>
        <v>0</v>
      </c>
      <c r="S19" s="19" t="str">
        <f ca="1">IF(AND(M19="Overdue",COUNTIFS('Maintenance Register'!$A$9:$A$20,E19,'Maintenance Register'!$L$9:$L$20,"Overdue")&gt;0),"Compounding Risk","")</f>
        <v/>
      </c>
    </row>
    <row r="20" spans="1:19">
      <c r="A20" s="14" t="s">
        <v>117</v>
      </c>
      <c r="B20" s="14" t="s">
        <v>118</v>
      </c>
      <c r="C20" s="14" t="s">
        <v>119</v>
      </c>
      <c r="D20" s="14" t="s">
        <v>120</v>
      </c>
      <c r="E20" s="14" t="s">
        <v>121</v>
      </c>
      <c r="F20" s="14" t="s">
        <v>122</v>
      </c>
      <c r="G20" s="15">
        <v>46127</v>
      </c>
      <c r="H20" s="14">
        <v>12</v>
      </c>
      <c r="I20" s="16">
        <f t="shared" si="0"/>
        <v>46492</v>
      </c>
      <c r="J20" s="17">
        <f t="shared" ca="1" si="1"/>
        <v>263</v>
      </c>
      <c r="K20" s="14" t="s">
        <v>64</v>
      </c>
      <c r="L20" s="14" t="s">
        <v>123</v>
      </c>
      <c r="M20" s="17" t="str">
        <f t="shared" ca="1" si="2"/>
        <v>Current</v>
      </c>
      <c r="N20" s="14"/>
      <c r="O20" s="19" t="s">
        <v>57</v>
      </c>
      <c r="P20" s="20">
        <v>90</v>
      </c>
      <c r="Q20" s="20">
        <f>IFERROR(VLOOKUP(O20,Lists!$F$2:$G$5,2,FALSE),0)</f>
        <v>8000</v>
      </c>
      <c r="R20" s="20">
        <f t="shared" ca="1" si="3"/>
        <v>0</v>
      </c>
      <c r="S20" s="19" t="str">
        <f ca="1">IF(AND(M20="Overdue",COUNTIFS('Maintenance Register'!$A$9:$A$20,E20,'Maintenance Register'!$L$9:$L$20,"Overdue")&gt;0),"Compounding Risk","")</f>
        <v/>
      </c>
    </row>
  </sheetData>
  <mergeCells count="12">
    <mergeCell ref="A1:N2"/>
    <mergeCell ref="I6:N6"/>
    <mergeCell ref="A3:N3"/>
    <mergeCell ref="C6:D6"/>
    <mergeCell ref="E6:F6"/>
    <mergeCell ref="I5:N5"/>
    <mergeCell ref="C5:D5"/>
    <mergeCell ref="A5:B5"/>
    <mergeCell ref="G5:H5"/>
    <mergeCell ref="E5:F5"/>
    <mergeCell ref="G6:H6"/>
    <mergeCell ref="A6:B6"/>
  </mergeCells>
  <conditionalFormatting sqref="M9:M20">
    <cfRule type="containsText" dxfId="4" priority="1" operator="containsText" text="Overdue"/>
    <cfRule type="containsText" dxfId="3" priority="2" operator="containsText" text="Due Soon"/>
  </conditionalFormatting>
  <conditionalFormatting sqref="R9:R2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9:S20">
    <cfRule type="cellIs" dxfId="2" priority="4" operator="equal">
      <formula>"Compounding Risk"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0000000}">
          <x14:formula1>
            <xm:f>Lists!$F$2:$F$5</xm:f>
          </x14:formula1>
          <xm:sqref>O9:O20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0"/>
  <sheetViews>
    <sheetView showGridLines="0" workbookViewId="0">
      <selection sqref="A1:N2"/>
    </sheetView>
  </sheetViews>
  <sheetFormatPr defaultRowHeight="13.8"/>
  <cols>
    <col min="1" max="1" width="12" customWidth="1"/>
    <col min="2" max="2" width="29" customWidth="1"/>
    <col min="3" max="4" width="18" customWidth="1"/>
    <col min="5" max="5" width="15" customWidth="1"/>
    <col min="6" max="6" width="19" customWidth="1"/>
    <col min="7" max="7" width="15" customWidth="1"/>
    <col min="8" max="8" width="19" customWidth="1"/>
    <col min="9" max="9" width="10" customWidth="1"/>
    <col min="10" max="10" width="20" customWidth="1"/>
    <col min="11" max="11" width="11" customWidth="1"/>
    <col min="12" max="12" width="13" customWidth="1"/>
    <col min="13" max="13" width="15" customWidth="1"/>
    <col min="14" max="14" width="25" customWidth="1"/>
    <col min="15" max="15" width="14" customWidth="1"/>
    <col min="16" max="17" width="16" customWidth="1"/>
  </cols>
  <sheetData>
    <row r="1" spans="1:17">
      <c r="A1" s="41" t="s">
        <v>124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7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7" ht="14.4">
      <c r="A3" s="32" t="s">
        <v>125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5" spans="1:17" ht="14.4">
      <c r="A5" s="45" t="s">
        <v>126</v>
      </c>
      <c r="B5" s="33"/>
      <c r="C5" s="45" t="s">
        <v>28</v>
      </c>
      <c r="D5" s="33"/>
      <c r="E5" s="45" t="s">
        <v>127</v>
      </c>
      <c r="F5" s="33"/>
      <c r="G5" s="45" t="s">
        <v>128</v>
      </c>
      <c r="H5" s="33"/>
    </row>
    <row r="6" spans="1:17" ht="22.8">
      <c r="A6" s="43">
        <f>COUNTA(A9:A20)</f>
        <v>12</v>
      </c>
      <c r="B6" s="44"/>
      <c r="C6" s="43">
        <f ca="1">COUNTIF(L9:L20,"Overdue")</f>
        <v>2</v>
      </c>
      <c r="D6" s="44"/>
      <c r="E6" s="43">
        <f ca="1">COUNTIF(L9:L20,"Due Soon")</f>
        <v>3</v>
      </c>
      <c r="F6" s="44"/>
      <c r="G6" s="43">
        <f>COUNTIF(M9:M20,"&lt;&gt;Complete")</f>
        <v>11</v>
      </c>
      <c r="H6" s="44"/>
    </row>
    <row r="8" spans="1:17" ht="28.8">
      <c r="A8" s="5" t="s">
        <v>34</v>
      </c>
      <c r="B8" s="5" t="s">
        <v>129</v>
      </c>
      <c r="C8" s="5" t="s">
        <v>130</v>
      </c>
      <c r="D8" s="5" t="s">
        <v>131</v>
      </c>
      <c r="E8" s="5" t="s">
        <v>132</v>
      </c>
      <c r="F8" s="5" t="s">
        <v>133</v>
      </c>
      <c r="G8" s="5" t="s">
        <v>134</v>
      </c>
      <c r="H8" s="5" t="s">
        <v>135</v>
      </c>
      <c r="I8" s="5" t="s">
        <v>136</v>
      </c>
      <c r="J8" s="5" t="s">
        <v>137</v>
      </c>
      <c r="K8" s="5" t="s">
        <v>138</v>
      </c>
      <c r="L8" s="5" t="s">
        <v>139</v>
      </c>
      <c r="M8" s="5" t="s">
        <v>140</v>
      </c>
      <c r="N8" s="5" t="s">
        <v>43</v>
      </c>
      <c r="O8" s="18" t="s">
        <v>141</v>
      </c>
      <c r="P8" s="18" t="s">
        <v>47</v>
      </c>
      <c r="Q8" s="18" t="s">
        <v>48</v>
      </c>
    </row>
    <row r="9" spans="1:17">
      <c r="A9" s="6" t="s">
        <v>53</v>
      </c>
      <c r="B9" s="6" t="s">
        <v>54</v>
      </c>
      <c r="C9" s="6" t="s">
        <v>52</v>
      </c>
      <c r="D9" s="6" t="s">
        <v>56</v>
      </c>
      <c r="E9" s="7">
        <v>45870</v>
      </c>
      <c r="F9" s="6">
        <v>12</v>
      </c>
      <c r="G9" s="8">
        <f t="shared" ref="G9:G20" si="0">EDATE(E9,F9)</f>
        <v>46235</v>
      </c>
      <c r="H9" s="6" t="s">
        <v>142</v>
      </c>
      <c r="I9" s="6" t="s">
        <v>143</v>
      </c>
      <c r="J9" s="6" t="s">
        <v>144</v>
      </c>
      <c r="K9" s="6" t="s">
        <v>57</v>
      </c>
      <c r="L9" s="9" t="str">
        <f t="shared" ref="L9:L20" ca="1" si="1">IF(G9&lt;TODAY(),"Overdue",IF(G9-TODAY()&lt;=60,"Due Soon","Current"))</f>
        <v>Due Soon</v>
      </c>
      <c r="M9" s="6" t="s">
        <v>145</v>
      </c>
      <c r="N9" s="6" t="s">
        <v>146</v>
      </c>
      <c r="O9" s="20">
        <v>1800</v>
      </c>
      <c r="P9" s="20">
        <f ca="1">IF(L9="Overdue",IFERROR(VLOOKUP(K9,Lists!$F$2:$G$5,2,FALSE),0),0)</f>
        <v>0</v>
      </c>
      <c r="Q9" s="19" t="str">
        <f ca="1">IF(AND(L9="Overdue",COUNTIFS('Compliance Renewals'!$E$9:$E$20,A9,'Compliance Renewals'!$M$9:$M$20,"Overdue")&gt;0),"Compounding Risk","")</f>
        <v/>
      </c>
    </row>
    <row r="10" spans="1:17">
      <c r="A10" s="10" t="s">
        <v>78</v>
      </c>
      <c r="B10" s="10" t="s">
        <v>79</v>
      </c>
      <c r="C10" s="10" t="s">
        <v>77</v>
      </c>
      <c r="D10" s="10" t="s">
        <v>80</v>
      </c>
      <c r="E10" s="11">
        <v>46063</v>
      </c>
      <c r="F10" s="10">
        <v>6</v>
      </c>
      <c r="G10" s="12">
        <f t="shared" si="0"/>
        <v>46244</v>
      </c>
      <c r="H10" s="10" t="s">
        <v>147</v>
      </c>
      <c r="I10" s="10" t="s">
        <v>148</v>
      </c>
      <c r="J10" s="10" t="s">
        <v>149</v>
      </c>
      <c r="K10" s="10" t="s">
        <v>66</v>
      </c>
      <c r="L10" s="13" t="str">
        <f t="shared" ca="1" si="1"/>
        <v>Due Soon</v>
      </c>
      <c r="M10" s="10" t="s">
        <v>150</v>
      </c>
      <c r="N10" s="10" t="s">
        <v>151</v>
      </c>
      <c r="O10" s="20">
        <v>3200</v>
      </c>
      <c r="P10" s="20">
        <f ca="1">IF(L10="Overdue",IFERROR(VLOOKUP(K10,Lists!$F$2:$G$5,2,FALSE),0),0)</f>
        <v>0</v>
      </c>
      <c r="Q10" s="19" t="str">
        <f ca="1">IF(AND(L10="Overdue",COUNTIFS('Compliance Renewals'!$E$9:$E$20,A10,'Compliance Renewals'!$M$9:$M$20,"Overdue")&gt;0),"Compounding Risk","")</f>
        <v/>
      </c>
    </row>
    <row r="11" spans="1:17">
      <c r="A11" s="10" t="s">
        <v>152</v>
      </c>
      <c r="B11" s="10" t="s">
        <v>153</v>
      </c>
      <c r="C11" s="10" t="s">
        <v>108</v>
      </c>
      <c r="D11" s="10" t="s">
        <v>154</v>
      </c>
      <c r="E11" s="11">
        <v>45976</v>
      </c>
      <c r="F11" s="10">
        <v>12</v>
      </c>
      <c r="G11" s="12">
        <f t="shared" si="0"/>
        <v>46341</v>
      </c>
      <c r="H11" s="10" t="s">
        <v>155</v>
      </c>
      <c r="I11" s="10" t="s">
        <v>156</v>
      </c>
      <c r="J11" s="10" t="s">
        <v>144</v>
      </c>
      <c r="K11" s="10" t="s">
        <v>116</v>
      </c>
      <c r="L11" s="13" t="str">
        <f t="shared" ca="1" si="1"/>
        <v>Current</v>
      </c>
      <c r="M11" s="10" t="s">
        <v>157</v>
      </c>
      <c r="N11" s="10"/>
      <c r="O11" s="20">
        <v>1500</v>
      </c>
      <c r="P11" s="20">
        <f ca="1">IF(L11="Overdue",IFERROR(VLOOKUP(K11,Lists!$F$2:$G$5,2,FALSE),0),0)</f>
        <v>0</v>
      </c>
      <c r="Q11" s="19" t="str">
        <f ca="1">IF(AND(L11="Overdue",COUNTIFS('Compliance Renewals'!$E$9:$E$20,A11,'Compliance Renewals'!$M$9:$M$20,"Overdue")&gt;0),"Compounding Risk","")</f>
        <v/>
      </c>
    </row>
    <row r="12" spans="1:17">
      <c r="A12" s="10" t="s">
        <v>113</v>
      </c>
      <c r="B12" s="10" t="s">
        <v>114</v>
      </c>
      <c r="C12" s="10" t="s">
        <v>112</v>
      </c>
      <c r="D12" s="10" t="s">
        <v>115</v>
      </c>
      <c r="E12" s="11">
        <v>45992</v>
      </c>
      <c r="F12" s="10">
        <v>12</v>
      </c>
      <c r="G12" s="12">
        <f t="shared" si="0"/>
        <v>46357</v>
      </c>
      <c r="H12" s="10" t="s">
        <v>155</v>
      </c>
      <c r="I12" s="10" t="s">
        <v>158</v>
      </c>
      <c r="J12" s="10" t="s">
        <v>159</v>
      </c>
      <c r="K12" s="10" t="s">
        <v>57</v>
      </c>
      <c r="L12" s="13" t="str">
        <f t="shared" ca="1" si="1"/>
        <v>Current</v>
      </c>
      <c r="M12" s="10" t="s">
        <v>150</v>
      </c>
      <c r="N12" s="10" t="s">
        <v>160</v>
      </c>
      <c r="O12" s="20">
        <v>2000</v>
      </c>
      <c r="P12" s="20">
        <f ca="1">IF(L12="Overdue",IFERROR(VLOOKUP(K12,Lists!$F$2:$G$5,2,FALSE),0),0)</f>
        <v>0</v>
      </c>
      <c r="Q12" s="19" t="str">
        <f ca="1">IF(AND(L12="Overdue",COUNTIFS('Compliance Renewals'!$E$9:$E$20,A12,'Compliance Renewals'!$M$9:$M$20,"Overdue")&gt;0),"Compounding Risk","")</f>
        <v/>
      </c>
    </row>
    <row r="13" spans="1:17">
      <c r="A13" s="10" t="s">
        <v>62</v>
      </c>
      <c r="B13" s="10" t="s">
        <v>63</v>
      </c>
      <c r="C13" s="10" t="s">
        <v>61</v>
      </c>
      <c r="D13" s="10" t="s">
        <v>65</v>
      </c>
      <c r="E13" s="11">
        <v>45858</v>
      </c>
      <c r="F13" s="10">
        <v>6</v>
      </c>
      <c r="G13" s="12">
        <f t="shared" si="0"/>
        <v>46042</v>
      </c>
      <c r="H13" s="10" t="s">
        <v>161</v>
      </c>
      <c r="I13" s="10" t="s">
        <v>162</v>
      </c>
      <c r="J13" s="10" t="s">
        <v>163</v>
      </c>
      <c r="K13" s="10" t="s">
        <v>66</v>
      </c>
      <c r="L13" s="13" t="str">
        <f t="shared" ca="1" si="1"/>
        <v>Overdue</v>
      </c>
      <c r="M13" s="10" t="s">
        <v>145</v>
      </c>
      <c r="N13" s="10" t="s">
        <v>164</v>
      </c>
      <c r="O13" s="20">
        <v>2600</v>
      </c>
      <c r="P13" s="20">
        <f ca="1">IF(L13="Overdue",IFERROR(VLOOKUP(K13,Lists!$F$2:$G$5,2,FALSE),0),0)</f>
        <v>25000</v>
      </c>
      <c r="Q13" s="19" t="str">
        <f ca="1">IF(AND(L13="Overdue",COUNTIFS('Compliance Renewals'!$E$9:$E$20,A13,'Compliance Renewals'!$M$9:$M$20,"Overdue")&gt;0),"Compounding Risk","")</f>
        <v/>
      </c>
    </row>
    <row r="14" spans="1:17">
      <c r="A14" s="10" t="s">
        <v>71</v>
      </c>
      <c r="B14" s="10" t="s">
        <v>72</v>
      </c>
      <c r="C14" s="10" t="s">
        <v>70</v>
      </c>
      <c r="D14" s="10" t="s">
        <v>73</v>
      </c>
      <c r="E14" s="11">
        <v>46082</v>
      </c>
      <c r="F14" s="10">
        <v>12</v>
      </c>
      <c r="G14" s="12">
        <f t="shared" si="0"/>
        <v>46447</v>
      </c>
      <c r="H14" s="10" t="s">
        <v>161</v>
      </c>
      <c r="I14" s="10" t="s">
        <v>165</v>
      </c>
      <c r="J14" s="10" t="s">
        <v>166</v>
      </c>
      <c r="K14" s="10" t="s">
        <v>57</v>
      </c>
      <c r="L14" s="13" t="str">
        <f t="shared" ca="1" si="1"/>
        <v>Current</v>
      </c>
      <c r="M14" s="10" t="s">
        <v>157</v>
      </c>
      <c r="N14" s="10"/>
      <c r="O14" s="20">
        <v>2200</v>
      </c>
      <c r="P14" s="20">
        <f ca="1">IF(L14="Overdue",IFERROR(VLOOKUP(K14,Lists!$F$2:$G$5,2,FALSE),0),0)</f>
        <v>0</v>
      </c>
      <c r="Q14" s="19" t="str">
        <f ca="1">IF(AND(L14="Overdue",COUNTIFS('Compliance Renewals'!$E$9:$E$20,A14,'Compliance Renewals'!$M$9:$M$20,"Overdue")&gt;0),"Compounding Risk","")</f>
        <v/>
      </c>
    </row>
    <row r="15" spans="1:17">
      <c r="A15" s="10" t="s">
        <v>167</v>
      </c>
      <c r="B15" s="10" t="s">
        <v>168</v>
      </c>
      <c r="C15" s="10" t="s">
        <v>101</v>
      </c>
      <c r="D15" s="10" t="s">
        <v>169</v>
      </c>
      <c r="E15" s="11">
        <v>45931</v>
      </c>
      <c r="F15" s="10">
        <v>12</v>
      </c>
      <c r="G15" s="12">
        <f t="shared" si="0"/>
        <v>46296</v>
      </c>
      <c r="H15" s="10" t="s">
        <v>170</v>
      </c>
      <c r="I15" s="10" t="s">
        <v>171</v>
      </c>
      <c r="J15" s="10" t="s">
        <v>144</v>
      </c>
      <c r="K15" s="10" t="s">
        <v>116</v>
      </c>
      <c r="L15" s="13" t="str">
        <f t="shared" ca="1" si="1"/>
        <v>Current</v>
      </c>
      <c r="M15" s="10" t="s">
        <v>150</v>
      </c>
      <c r="N15" s="10"/>
      <c r="O15" s="20">
        <v>1600</v>
      </c>
      <c r="P15" s="20">
        <f ca="1">IF(L15="Overdue",IFERROR(VLOOKUP(K15,Lists!$F$2:$G$5,2,FALSE),0),0)</f>
        <v>0</v>
      </c>
      <c r="Q15" s="19" t="str">
        <f ca="1">IF(AND(L15="Overdue",COUNTIFS('Compliance Renewals'!$E$9:$E$20,A15,'Compliance Renewals'!$M$9:$M$20,"Overdue")&gt;0),"Compounding Risk","")</f>
        <v/>
      </c>
    </row>
    <row r="16" spans="1:17">
      <c r="A16" s="10" t="s">
        <v>172</v>
      </c>
      <c r="B16" s="10" t="s">
        <v>173</v>
      </c>
      <c r="C16" s="10" t="s">
        <v>52</v>
      </c>
      <c r="D16" s="10" t="s">
        <v>56</v>
      </c>
      <c r="E16" s="11">
        <v>46188</v>
      </c>
      <c r="F16" s="10">
        <v>12</v>
      </c>
      <c r="G16" s="12">
        <f t="shared" si="0"/>
        <v>46553</v>
      </c>
      <c r="H16" s="10" t="s">
        <v>155</v>
      </c>
      <c r="I16" s="10" t="s">
        <v>174</v>
      </c>
      <c r="J16" s="10" t="s">
        <v>175</v>
      </c>
      <c r="K16" s="10" t="s">
        <v>176</v>
      </c>
      <c r="L16" s="13" t="str">
        <f t="shared" ca="1" si="1"/>
        <v>Current</v>
      </c>
      <c r="M16" s="10" t="s">
        <v>177</v>
      </c>
      <c r="N16" s="10"/>
      <c r="O16" s="20">
        <v>1800</v>
      </c>
      <c r="P16" s="20">
        <f ca="1">IF(L16="Overdue",IFERROR(VLOOKUP(K16,Lists!$F$2:$G$5,2,FALSE),0),0)</f>
        <v>0</v>
      </c>
      <c r="Q16" s="19" t="str">
        <f ca="1">IF(AND(L16="Overdue",COUNTIFS('Compliance Renewals'!$E$9:$E$20,A16,'Compliance Renewals'!$M$9:$M$20,"Overdue")&gt;0),"Compounding Risk","")</f>
        <v/>
      </c>
    </row>
    <row r="17" spans="1:17">
      <c r="A17" s="10" t="s">
        <v>178</v>
      </c>
      <c r="B17" s="10" t="s">
        <v>179</v>
      </c>
      <c r="C17" s="10" t="s">
        <v>84</v>
      </c>
      <c r="D17" s="10" t="s">
        <v>88</v>
      </c>
      <c r="E17" s="11">
        <v>45915</v>
      </c>
      <c r="F17" s="10">
        <v>12</v>
      </c>
      <c r="G17" s="12">
        <f t="shared" si="0"/>
        <v>46280</v>
      </c>
      <c r="H17" s="10" t="s">
        <v>155</v>
      </c>
      <c r="I17" s="10" t="s">
        <v>180</v>
      </c>
      <c r="J17" s="10" t="s">
        <v>144</v>
      </c>
      <c r="K17" s="10" t="s">
        <v>116</v>
      </c>
      <c r="L17" s="13" t="str">
        <f t="shared" ca="1" si="1"/>
        <v>Due Soon</v>
      </c>
      <c r="M17" s="10" t="s">
        <v>157</v>
      </c>
      <c r="N17" s="10"/>
      <c r="O17" s="20">
        <v>2100</v>
      </c>
      <c r="P17" s="20">
        <f ca="1">IF(L17="Overdue",IFERROR(VLOOKUP(K17,Lists!$F$2:$G$5,2,FALSE),0),0)</f>
        <v>0</v>
      </c>
      <c r="Q17" s="19" t="str">
        <f ca="1">IF(AND(L17="Overdue",COUNTIFS('Compliance Renewals'!$E$9:$E$20,A17,'Compliance Renewals'!$M$9:$M$20,"Overdue")&gt;0),"Compounding Risk","")</f>
        <v/>
      </c>
    </row>
    <row r="18" spans="1:17">
      <c r="A18" s="10" t="s">
        <v>121</v>
      </c>
      <c r="B18" s="10" t="s">
        <v>122</v>
      </c>
      <c r="C18" s="10" t="s">
        <v>120</v>
      </c>
      <c r="D18" s="10" t="s">
        <v>123</v>
      </c>
      <c r="E18" s="11">
        <v>46122</v>
      </c>
      <c r="F18" s="10">
        <v>6</v>
      </c>
      <c r="G18" s="12">
        <f t="shared" si="0"/>
        <v>46305</v>
      </c>
      <c r="H18" s="10" t="s">
        <v>170</v>
      </c>
      <c r="I18" s="10" t="s">
        <v>174</v>
      </c>
      <c r="J18" s="10" t="s">
        <v>166</v>
      </c>
      <c r="K18" s="10" t="s">
        <v>57</v>
      </c>
      <c r="L18" s="13" t="str">
        <f t="shared" ca="1" si="1"/>
        <v>Current</v>
      </c>
      <c r="M18" s="10" t="s">
        <v>145</v>
      </c>
      <c r="N18" s="10" t="s">
        <v>181</v>
      </c>
      <c r="O18" s="20">
        <v>1400</v>
      </c>
      <c r="P18" s="20">
        <f ca="1">IF(L18="Overdue",IFERROR(VLOOKUP(K18,Lists!$F$2:$G$5,2,FALSE),0),0)</f>
        <v>0</v>
      </c>
      <c r="Q18" s="19" t="str">
        <f ca="1">IF(AND(L18="Overdue",COUNTIFS('Compliance Renewals'!$E$9:$E$20,A18,'Compliance Renewals'!$M$9:$M$20,"Overdue")&gt;0),"Compounding Risk","")</f>
        <v/>
      </c>
    </row>
    <row r="19" spans="1:17">
      <c r="A19" s="10" t="s">
        <v>182</v>
      </c>
      <c r="B19" s="10" t="s">
        <v>183</v>
      </c>
      <c r="C19" s="10" t="s">
        <v>184</v>
      </c>
      <c r="D19" s="10" t="s">
        <v>185</v>
      </c>
      <c r="E19" s="11">
        <v>46037</v>
      </c>
      <c r="F19" s="10">
        <v>12</v>
      </c>
      <c r="G19" s="12">
        <f t="shared" si="0"/>
        <v>46402</v>
      </c>
      <c r="H19" s="10" t="s">
        <v>155</v>
      </c>
      <c r="I19" s="10" t="s">
        <v>186</v>
      </c>
      <c r="J19" s="10" t="s">
        <v>163</v>
      </c>
      <c r="K19" s="10" t="s">
        <v>176</v>
      </c>
      <c r="L19" s="13" t="str">
        <f t="shared" ca="1" si="1"/>
        <v>Current</v>
      </c>
      <c r="M19" s="10" t="s">
        <v>157</v>
      </c>
      <c r="N19" s="10"/>
      <c r="O19" s="20">
        <v>3000</v>
      </c>
      <c r="P19" s="20">
        <f ca="1">IF(L19="Overdue",IFERROR(VLOOKUP(K19,Lists!$F$2:$G$5,2,FALSE),0),0)</f>
        <v>0</v>
      </c>
      <c r="Q19" s="19" t="str">
        <f ca="1">IF(AND(L19="Overdue",COUNTIFS('Compliance Renewals'!$E$9:$E$20,A19,'Compliance Renewals'!$M$9:$M$20,"Overdue")&gt;0),"Compounding Risk","")</f>
        <v/>
      </c>
    </row>
    <row r="20" spans="1:17">
      <c r="A20" s="14" t="s">
        <v>102</v>
      </c>
      <c r="B20" s="14" t="s">
        <v>103</v>
      </c>
      <c r="C20" s="14" t="s">
        <v>187</v>
      </c>
      <c r="D20" s="14" t="s">
        <v>104</v>
      </c>
      <c r="E20" s="15">
        <v>45879</v>
      </c>
      <c r="F20" s="14">
        <v>6</v>
      </c>
      <c r="G20" s="16">
        <f t="shared" si="0"/>
        <v>46063</v>
      </c>
      <c r="H20" s="14" t="s">
        <v>147</v>
      </c>
      <c r="I20" s="14" t="s">
        <v>156</v>
      </c>
      <c r="J20" s="14" t="s">
        <v>188</v>
      </c>
      <c r="K20" s="14" t="s">
        <v>66</v>
      </c>
      <c r="L20" s="17" t="str">
        <f t="shared" ca="1" si="1"/>
        <v>Overdue</v>
      </c>
      <c r="M20" s="14" t="s">
        <v>150</v>
      </c>
      <c r="N20" s="14" t="s">
        <v>189</v>
      </c>
      <c r="O20" s="20">
        <v>2900</v>
      </c>
      <c r="P20" s="20">
        <f ca="1">IF(L20="Overdue",IFERROR(VLOOKUP(K20,Lists!$F$2:$G$5,2,FALSE),0),0)</f>
        <v>25000</v>
      </c>
      <c r="Q20" s="19" t="str">
        <f ca="1">IF(AND(L20="Overdue",COUNTIFS('Compliance Renewals'!$E$9:$E$20,A20,'Compliance Renewals'!$M$9:$M$20,"Overdue")&gt;0),"Compounding Risk","")</f>
        <v/>
      </c>
    </row>
  </sheetData>
  <mergeCells count="10">
    <mergeCell ref="A1:N2"/>
    <mergeCell ref="A3:N3"/>
    <mergeCell ref="C6:D6"/>
    <mergeCell ref="E6:F6"/>
    <mergeCell ref="C5:D5"/>
    <mergeCell ref="A5:B5"/>
    <mergeCell ref="G5:H5"/>
    <mergeCell ref="E5:F5"/>
    <mergeCell ref="G6:H6"/>
    <mergeCell ref="A6:B6"/>
  </mergeCells>
  <conditionalFormatting sqref="L9:L20">
    <cfRule type="containsText" dxfId="1" priority="1" operator="containsText" text="Overdue"/>
  </conditionalFormatting>
  <conditionalFormatting sqref="P9:P2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9:Q20">
    <cfRule type="cellIs" dxfId="0" priority="3" operator="equal">
      <formula>"Compounding Risk"</formula>
    </cfRule>
  </conditionalFormatting>
  <dataValidations count="3">
    <dataValidation type="list" sqref="H9:H20" xr:uid="{00000000-0002-0000-0200-000000000000}">
      <formula1>"Annual review,Policy change,SME review,Accessibility review,Technical QA,Full redesign"</formula1>
    </dataValidation>
    <dataValidation type="list" sqref="K9:K20" xr:uid="{00000000-0002-0000-0200-000001000000}">
      <formula1>"Low,Medium,High,Critical"</formula1>
    </dataValidation>
    <dataValidation type="list" sqref="M9:M20" xr:uid="{00000000-0002-0000-0200-000002000000}">
      <formula1>"Not Started,Planned,In Progress,Complete,On Hold"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showGridLines="0" tabSelected="1" topLeftCell="A9" workbookViewId="0">
      <selection sqref="A1:D1"/>
    </sheetView>
  </sheetViews>
  <sheetFormatPr defaultRowHeight="13.8"/>
  <cols>
    <col min="1" max="1" width="22" customWidth="1"/>
    <col min="2" max="3" width="46" customWidth="1"/>
    <col min="4" max="4" width="30" customWidth="1"/>
  </cols>
  <sheetData>
    <row r="1" spans="1:4" ht="21">
      <c r="A1" s="46" t="s">
        <v>190</v>
      </c>
      <c r="B1" s="33"/>
      <c r="C1" s="33"/>
      <c r="D1" s="33"/>
    </row>
    <row r="2" spans="1:4">
      <c r="A2" s="49" t="s">
        <v>191</v>
      </c>
      <c r="B2" s="33"/>
      <c r="C2" s="33"/>
      <c r="D2" s="33"/>
    </row>
    <row r="4" spans="1:4">
      <c r="A4" s="21" t="s">
        <v>192</v>
      </c>
      <c r="B4" s="21" t="s">
        <v>193</v>
      </c>
      <c r="C4" s="21" t="s">
        <v>194</v>
      </c>
    </row>
    <row r="5" spans="1:4" ht="61.95" customHeight="1">
      <c r="A5" s="22" t="s">
        <v>195</v>
      </c>
      <c r="B5" s="23" t="s">
        <v>196</v>
      </c>
      <c r="C5" s="23" t="s">
        <v>197</v>
      </c>
    </row>
    <row r="6" spans="1:4" ht="61.95" customHeight="1">
      <c r="A6" s="24" t="s">
        <v>198</v>
      </c>
      <c r="B6" s="25" t="s">
        <v>199</v>
      </c>
      <c r="C6" s="25" t="s">
        <v>200</v>
      </c>
    </row>
    <row r="7" spans="1:4" ht="61.95" customHeight="1">
      <c r="A7" s="22" t="s">
        <v>201</v>
      </c>
      <c r="B7" s="23" t="s">
        <v>202</v>
      </c>
      <c r="C7" s="23" t="s">
        <v>203</v>
      </c>
    </row>
    <row r="8" spans="1:4" ht="61.95" customHeight="1">
      <c r="A8" s="24" t="s">
        <v>204</v>
      </c>
      <c r="B8" s="25" t="s">
        <v>205</v>
      </c>
      <c r="C8" s="25" t="s">
        <v>206</v>
      </c>
    </row>
    <row r="9" spans="1:4" ht="61.95" customHeight="1">
      <c r="A9" s="22" t="s">
        <v>207</v>
      </c>
      <c r="B9" s="23" t="s">
        <v>208</v>
      </c>
      <c r="C9" s="23" t="s">
        <v>209</v>
      </c>
    </row>
    <row r="10" spans="1:4" ht="61.95" customHeight="1">
      <c r="A10" s="24" t="s">
        <v>210</v>
      </c>
      <c r="B10" s="25" t="s">
        <v>211</v>
      </c>
      <c r="C10" s="25" t="s">
        <v>212</v>
      </c>
    </row>
    <row r="13" spans="1:4" ht="17.399999999999999">
      <c r="A13" s="50" t="s">
        <v>213</v>
      </c>
      <c r="B13" s="33"/>
      <c r="C13" s="33"/>
      <c r="D13" s="33"/>
    </row>
    <row r="14" spans="1:4">
      <c r="A14" s="51" t="s">
        <v>214</v>
      </c>
      <c r="B14" s="33"/>
      <c r="C14" s="33"/>
      <c r="D14" s="33"/>
    </row>
    <row r="16" spans="1:4" ht="19.95" customHeight="1">
      <c r="A16" s="47" t="s">
        <v>215</v>
      </c>
      <c r="B16" s="33"/>
      <c r="C16" s="26">
        <f ca="1">'Compliance Renewals'!I6</f>
        <v>0.91666666666666663</v>
      </c>
    </row>
    <row r="17" spans="1:4" ht="19.95" customHeight="1">
      <c r="A17" s="47" t="s">
        <v>216</v>
      </c>
      <c r="B17" s="33"/>
      <c r="C17" s="27">
        <f ca="1">SUM('Compliance Renewals'!R9:R20)</f>
        <v>16000</v>
      </c>
    </row>
    <row r="18" spans="1:4" ht="19.95" customHeight="1">
      <c r="A18" s="47" t="s">
        <v>217</v>
      </c>
      <c r="B18" s="33"/>
      <c r="C18" s="27">
        <f ca="1">SUM('Maintenance Register'!P9:P20)</f>
        <v>50000</v>
      </c>
    </row>
    <row r="19" spans="1:4" ht="19.95" customHeight="1">
      <c r="A19" s="47" t="s">
        <v>218</v>
      </c>
      <c r="B19" s="33"/>
      <c r="C19" s="28">
        <f ca="1">C17+C18</f>
        <v>66000</v>
      </c>
    </row>
    <row r="20" spans="1:4" ht="27.6" customHeight="1">
      <c r="A20" s="47" t="s">
        <v>219</v>
      </c>
      <c r="B20" s="33"/>
      <c r="C20" s="27">
        <f ca="1">SUMPRODUCT(('Compliance Renewals'!$M$9:$M$20="Overdue")*'Compliance Renewals'!$P$9:$P$20)+SUMPRODUCT(('Maintenance Register'!$L$9:$L$20="Overdue")*'Maintenance Register'!$O$9:$O$20)</f>
        <v>5840</v>
      </c>
    </row>
    <row r="21" spans="1:4" ht="19.95" customHeight="1">
      <c r="A21" s="47" t="s">
        <v>220</v>
      </c>
      <c r="B21" s="33"/>
      <c r="C21" s="29">
        <f ca="1">IFERROR(C19/C20,0)</f>
        <v>11.301369863013699</v>
      </c>
    </row>
    <row r="23" spans="1:4" ht="40.049999999999997" customHeight="1">
      <c r="A23" s="48" t="s">
        <v>221</v>
      </c>
      <c r="B23" s="33"/>
      <c r="C23" s="33"/>
      <c r="D23" s="33"/>
    </row>
  </sheetData>
  <mergeCells count="11">
    <mergeCell ref="A1:D1"/>
    <mergeCell ref="A20:B20"/>
    <mergeCell ref="A21:B21"/>
    <mergeCell ref="A16:B16"/>
    <mergeCell ref="A23:D23"/>
    <mergeCell ref="A19:B19"/>
    <mergeCell ref="A2:D2"/>
    <mergeCell ref="A17:B17"/>
    <mergeCell ref="A18:B18"/>
    <mergeCell ref="A13:D1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showGridLines="0" workbookViewId="0"/>
  </sheetViews>
  <sheetFormatPr defaultRowHeight="13.8"/>
  <cols>
    <col min="1" max="1" width="15" customWidth="1"/>
    <col min="2" max="2" width="14" customWidth="1"/>
    <col min="3" max="3" width="22" customWidth="1"/>
    <col min="4" max="4" width="16" customWidth="1"/>
  </cols>
  <sheetData>
    <row r="1" spans="1:7">
      <c r="A1" s="4" t="s">
        <v>42</v>
      </c>
      <c r="B1" s="4" t="s">
        <v>138</v>
      </c>
      <c r="C1" s="4" t="s">
        <v>135</v>
      </c>
      <c r="D1" s="4" t="s">
        <v>222</v>
      </c>
      <c r="F1" t="s">
        <v>138</v>
      </c>
      <c r="G1" t="s">
        <v>223</v>
      </c>
    </row>
    <row r="2" spans="1:7">
      <c r="A2" t="s">
        <v>224</v>
      </c>
      <c r="B2" t="s">
        <v>176</v>
      </c>
      <c r="C2" t="s">
        <v>142</v>
      </c>
      <c r="D2" t="s">
        <v>225</v>
      </c>
      <c r="F2" t="s">
        <v>176</v>
      </c>
      <c r="G2">
        <v>500</v>
      </c>
    </row>
    <row r="3" spans="1:7">
      <c r="A3" t="s">
        <v>226</v>
      </c>
      <c r="B3" t="s">
        <v>116</v>
      </c>
      <c r="C3" t="s">
        <v>147</v>
      </c>
      <c r="D3" t="s">
        <v>227</v>
      </c>
      <c r="F3" t="s">
        <v>116</v>
      </c>
      <c r="G3">
        <v>2000</v>
      </c>
    </row>
    <row r="4" spans="1:7">
      <c r="A4" t="s">
        <v>228</v>
      </c>
      <c r="B4" t="s">
        <v>57</v>
      </c>
      <c r="C4" t="s">
        <v>155</v>
      </c>
      <c r="D4" t="s">
        <v>229</v>
      </c>
      <c r="F4" t="s">
        <v>57</v>
      </c>
      <c r="G4">
        <v>8000</v>
      </c>
    </row>
    <row r="5" spans="1:7">
      <c r="A5" t="s">
        <v>230</v>
      </c>
      <c r="B5" t="s">
        <v>66</v>
      </c>
      <c r="C5" t="s">
        <v>170</v>
      </c>
      <c r="D5" t="s">
        <v>231</v>
      </c>
      <c r="F5" t="s">
        <v>66</v>
      </c>
      <c r="G5">
        <v>25000</v>
      </c>
    </row>
    <row r="6" spans="1:7">
      <c r="C6" t="s">
        <v>161</v>
      </c>
    </row>
    <row r="7" spans="1:7">
      <c r="C7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Compliance Renewals</vt:lpstr>
      <vt:lpstr>Maintenance Register</vt:lpstr>
      <vt:lpstr>Playbook &amp; ROI Guide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Bhuvana Kumar</cp:lastModifiedBy>
  <dcterms:created xsi:type="dcterms:W3CDTF">2026-07-26T07:03:12Z</dcterms:created>
  <dcterms:modified xsi:type="dcterms:W3CDTF">2026-07-26T08:25:09Z</dcterms:modified>
</cp:coreProperties>
</file>